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8ED07E1-BCFA-485F-B790-B881E09AA706}" xr6:coauthVersionLast="47" xr6:coauthVersionMax="47" xr10:uidLastSave="{00000000-0000-0000-0000-000000000000}"/>
  <bookViews>
    <workbookView xWindow="-120" yWindow="-120" windowWidth="29040" windowHeight="17520" tabRatio="732" xr2:uid="{00000000-000D-0000-FFFF-FFFF00000000}"/>
  </bookViews>
  <sheets>
    <sheet name="製造販売後臨床試験（医薬品）smo" sheetId="8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'製造販売後臨床試験（医薬品）smo'!$B$1:$L$71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8" l="1"/>
  <c r="B78" i="8"/>
  <c r="B79" i="8"/>
  <c r="D15" i="8" l="1"/>
  <c r="D16" i="8" s="1"/>
  <c r="D27" i="8"/>
  <c r="D28" i="8" s="1"/>
  <c r="B73" i="8"/>
  <c r="M61" i="8"/>
  <c r="M43" i="8"/>
  <c r="M23" i="8"/>
  <c r="M13" i="8"/>
  <c r="D17" i="8" l="1"/>
  <c r="D78" i="8"/>
  <c r="D77" i="8"/>
  <c r="D76" i="8"/>
  <c r="D79" i="8"/>
  <c r="D64" i="8"/>
  <c r="D65" i="8" l="1"/>
  <c r="D61" i="8"/>
  <c r="D73" i="8" s="1"/>
  <c r="D46" i="8"/>
  <c r="D75" i="8" s="1"/>
  <c r="D36" i="8"/>
  <c r="D80" i="8" s="1"/>
  <c r="D32" i="8"/>
  <c r="D66" i="8" l="1"/>
  <c r="D67" i="8" s="1"/>
  <c r="D33" i="8"/>
  <c r="D68" i="8" l="1"/>
  <c r="D35" i="8"/>
  <c r="D34" i="8"/>
  <c r="D47" i="8" l="1"/>
  <c r="K23" i="5"/>
  <c r="G39" i="6"/>
  <c r="G38" i="6"/>
  <c r="G37" i="6"/>
  <c r="G36" i="6"/>
  <c r="G39" i="5"/>
  <c r="G38" i="5"/>
  <c r="G37" i="5"/>
  <c r="G36" i="5"/>
  <c r="G38" i="4"/>
  <c r="G37" i="4"/>
  <c r="G36" i="4"/>
  <c r="G35" i="4"/>
  <c r="G34" i="4"/>
  <c r="G34" i="3"/>
  <c r="G38" i="3"/>
  <c r="G37" i="3"/>
  <c r="G36" i="3"/>
  <c r="G35" i="3"/>
  <c r="G39" i="1"/>
  <c r="G38" i="1"/>
  <c r="G37" i="1"/>
  <c r="G36" i="1"/>
  <c r="O40" i="6"/>
  <c r="L43" i="6"/>
  <c r="L42" i="6"/>
  <c r="G42" i="6" s="1"/>
  <c r="L41" i="6"/>
  <c r="L40" i="6"/>
  <c r="G40" i="6" s="1"/>
  <c r="O40" i="5"/>
  <c r="L43" i="5"/>
  <c r="G43" i="5" s="1"/>
  <c r="L42" i="5"/>
  <c r="G42" i="5" s="1"/>
  <c r="L41" i="5"/>
  <c r="L40" i="5"/>
  <c r="O39" i="4"/>
  <c r="L43" i="4"/>
  <c r="L42" i="4"/>
  <c r="L41" i="4"/>
  <c r="L40" i="4"/>
  <c r="L39" i="4"/>
  <c r="O39" i="3"/>
  <c r="L42" i="3"/>
  <c r="L39" i="3"/>
  <c r="G39" i="3" s="1"/>
  <c r="L43" i="3"/>
  <c r="L41" i="3"/>
  <c r="G41" i="3" s="1"/>
  <c r="L40" i="3"/>
  <c r="G40" i="3" s="1"/>
  <c r="O40" i="1"/>
  <c r="L40" i="1"/>
  <c r="L41" i="1"/>
  <c r="L42" i="1"/>
  <c r="L43" i="1"/>
  <c r="B32" i="5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E31" i="1" s="1"/>
  <c r="H31" i="1" s="1"/>
  <c r="K31" i="1" s="1"/>
  <c r="N31" i="1" s="1"/>
  <c r="G39" i="4" l="1"/>
  <c r="E39" i="4" s="1"/>
  <c r="G40" i="4"/>
  <c r="G41" i="4"/>
  <c r="G42" i="4"/>
  <c r="G43" i="4"/>
  <c r="G40" i="5"/>
  <c r="G41" i="5"/>
  <c r="G43" i="6"/>
  <c r="E32" i="6"/>
  <c r="H32" i="6" s="1"/>
  <c r="K32" i="6" s="1"/>
  <c r="N32" i="6" s="1"/>
  <c r="E36" i="6"/>
  <c r="E32" i="5"/>
  <c r="H32" i="5" s="1"/>
  <c r="K32" i="5" s="1"/>
  <c r="N32" i="5" s="1"/>
  <c r="E36" i="5"/>
  <c r="E34" i="4"/>
  <c r="G43" i="3"/>
  <c r="G42" i="3"/>
  <c r="E34" i="3"/>
  <c r="G40" i="1"/>
  <c r="D48" i="8"/>
  <c r="G41" i="6"/>
  <c r="E40" i="5"/>
  <c r="K18" i="3"/>
  <c r="G42" i="1"/>
  <c r="G43" i="1"/>
  <c r="G41" i="1"/>
  <c r="E36" i="1"/>
  <c r="E40" i="6" l="1"/>
  <c r="E39" i="3"/>
  <c r="E44" i="3" s="1"/>
  <c r="E45" i="3" s="1"/>
  <c r="E46" i="3" s="1"/>
  <c r="E44" i="4"/>
  <c r="E45" i="4"/>
  <c r="E46" i="4" s="1"/>
  <c r="E40" i="1"/>
  <c r="E44" i="1" s="1"/>
  <c r="D49" i="8"/>
  <c r="E44" i="6"/>
  <c r="E44" i="5"/>
  <c r="D53" i="8"/>
  <c r="E45" i="6" l="1"/>
  <c r="E46" i="6" s="1"/>
  <c r="E45" i="5"/>
  <c r="E46" i="5" s="1"/>
  <c r="D55" i="8"/>
  <c r="E45" i="1"/>
  <c r="E46" i="1" s="1"/>
  <c r="D54" i="8"/>
  <c r="D74" i="8" l="1"/>
  <c r="D56" i="8"/>
  <c r="D81" i="8" s="1"/>
  <c r="D82" i="8" s="1"/>
  <c r="D57" i="8" l="1"/>
  <c r="D70" i="8" s="1"/>
</calcChain>
</file>

<file path=xl/sharedStrings.xml><?xml version="1.0" encoding="utf-8"?>
<sst xmlns="http://schemas.openxmlformats.org/spreadsheetml/2006/main" count="506" uniqueCount="211">
  <si>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</si>
  <si>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</si>
  <si>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</si>
  <si>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</si>
  <si>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</si>
  <si>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</si>
  <si>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</si>
  <si>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</si>
  <si>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</si>
  <si>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</si>
  <si>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</si>
  <si>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</si>
  <si>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</si>
  <si>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</si>
  <si>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</si>
  <si>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</si>
  <si>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</si>
  <si>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</si>
  <si>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</si>
  <si>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</si>
  <si>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</si>
  <si>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</si>
  <si>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</si>
  <si>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</si>
  <si>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</si>
  <si>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</si>
  <si>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</si>
  <si>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</si>
  <si>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</si>
  <si>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</si>
  <si>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</si>
  <si>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</si>
  <si>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</si>
  <si>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</si>
  <si>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</si>
  <si>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</si>
  <si>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</si>
  <si>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</si>
  <si>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</si>
  <si>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</si>
  <si>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</si>
  <si>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</si>
  <si>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</si>
  <si>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</si>
  <si>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</si>
  <si>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</si>
  <si>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</si>
  <si>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</si>
  <si>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</si>
  <si>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</si>
  <si>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</si>
  <si>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</si>
  <si>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</si>
  <si>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</si>
  <si>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</si>
  <si>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</si>
  <si>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</si>
  <si>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</si>
  <si>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</si>
  <si>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</si>
  <si>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</si>
  <si>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</si>
  <si>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</si>
  <si>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</si>
  <si>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</si>
  <si>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</si>
  <si>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</si>
  <si>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</si>
  <si>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</si>
  <si>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</si>
  <si>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</si>
  <si>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</si>
  <si>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</si>
  <si>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</si>
  <si>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</si>
  <si>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</si>
  <si>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</si>
  <si>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</si>
  <si>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</si>
  <si>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</si>
  <si>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</si>
  <si>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</si>
  <si>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</si>
  <si>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</si>
  <si>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</si>
  <si>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</si>
  <si>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</si>
  <si>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</si>
  <si>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</si>
  <si>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</si>
  <si>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</si>
  <si>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×7,000円</t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</si>
  <si>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</si>
  <si>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</t>
    <rPh sb="0" eb="2">
      <t>ゴウケイ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</si>
  <si>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</si>
  <si>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</si>
  <si>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</si>
  <si>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</si>
  <si>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</si>
  <si>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</si>
  <si>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</si>
  <si>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</si>
  <si>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(5)病理検体標本作成費</t>
    <rPh sb="11" eb="12">
      <t>ヒ</t>
    </rPh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</si>
  <si>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</si>
  <si>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</si>
  <si>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</si>
  <si>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</si>
  <si>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</si>
  <si>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</si>
  <si>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</si>
  <si>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</si>
  <si>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</si>
  <si>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</si>
  <si>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</si>
  <si>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</si>
  <si>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第Ⅳ期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</si>
  <si>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</si>
  <si>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</si>
  <si>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</si>
  <si>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</si>
  <si>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</si>
  <si>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</si>
  <si>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</si>
  <si>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</si>
  <si>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試験課題名：</t>
    <rPh sb="0" eb="2">
      <t>シケン</t>
    </rPh>
    <rPh sb="2" eb="4">
      <t>カダイ</t>
    </rPh>
    <rPh sb="4" eb="5">
      <t>メイ</t>
    </rPh>
    <phoneticPr fontId="32"/>
  </si>
  <si>
    <t>(2)試験薬管理費</t>
    <rPh sb="3" eb="5">
      <t>シケン</t>
    </rPh>
    <rPh sb="5" eb="6">
      <t>クスリ</t>
    </rPh>
    <rPh sb="6" eb="9">
      <t>カンリヒ</t>
    </rPh>
    <phoneticPr fontId="32"/>
  </si>
  <si>
    <t>別紙（４）抗がん剤対象試験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</si>
  <si>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別紙（５）抗がん剤対象試験　【第３相、第４相試験、拡大試験】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シケン</t>
    </rPh>
    <phoneticPr fontId="1"/>
  </si>
  <si>
    <t>別紙（１）抗がん剤以外の医薬品試験　【試験薬投与期間24週まで】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</si>
  <si>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別紙（２）抗がん剤以外の医薬品試験　【試験薬投与期間25週から104週まで】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</si>
  <si>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別紙（３）抗がん剤以外の医薬品試験　【試験薬投与期間105週以上】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</si>
  <si>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× 6,000×0.8＋消費税</t>
    <rPh sb="12" eb="15">
      <t>ショウヒゼイ</t>
    </rPh>
    <phoneticPr fontId="26"/>
  </si>
  <si>
    <t>×6,000×0.8＋消費税</t>
    <rPh sb="11" eb="14">
      <t>ショウヒゼイ</t>
    </rPh>
    <phoneticPr fontId="26"/>
  </si>
  <si>
    <t>× 6,000×0.8＋消費税</t>
    <phoneticPr fontId="26"/>
  </si>
  <si>
    <t>× 6,000×0.8＋消費税</t>
    <phoneticPr fontId="26"/>
  </si>
  <si>
    <t>×1,500</t>
    <phoneticPr fontId="26"/>
  </si>
  <si>
    <t>× 1,500</t>
    <phoneticPr fontId="26"/>
  </si>
  <si>
    <t>(6)SAE報告書作成費</t>
    <phoneticPr fontId="32"/>
  </si>
  <si>
    <t>×60,000円＋消費税</t>
    <phoneticPr fontId="32"/>
  </si>
  <si>
    <t>×10,000円＋消費税</t>
    <phoneticPr fontId="1"/>
  </si>
  <si>
    <t>×20,000円＋消費税</t>
    <phoneticPr fontId="1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</si>
  <si>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</si>
  <si>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</si>
  <si>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</si>
  <si>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</si>
  <si>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</si>
  <si>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</si>
  <si>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</si>
  <si>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</si>
  <si>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</si>
  <si>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</si>
  <si>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</si>
  <si>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</si>
  <si>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</si>
  <si>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32"/>
  </si>
  <si>
    <t>×10,000円＋消費税</t>
    <phoneticPr fontId="32"/>
  </si>
  <si>
    <t>診療科数</t>
    <phoneticPr fontId="1"/>
  </si>
  <si>
    <t>×50,000円＋消費税</t>
    <phoneticPr fontId="1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</si>
  <si>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</si>
  <si>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</si>
  <si>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</si>
  <si>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</si>
  <si>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×50,000円＋消費税</t>
    <phoneticPr fontId="1"/>
  </si>
  <si>
    <t>×20,000円＋消費税</t>
    <phoneticPr fontId="1"/>
  </si>
  <si>
    <t>×20,000円＋消費税</t>
    <phoneticPr fontId="1"/>
  </si>
  <si>
    <t>（(Ⅰ)+(Ⅱ)+(Ⅲ)）×0.2</t>
    <phoneticPr fontId="32"/>
  </si>
  <si>
    <t>（(Ⅰ)+(Ⅱ)+(Ⅲ)+（Ⅳ)）×0.3</t>
    <phoneticPr fontId="32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</si>
  <si>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</si>
  <si>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</si>
  <si>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300,000円＋消費税　</t>
    <rPh sb="7" eb="8">
      <t>エン</t>
    </rPh>
    <phoneticPr fontId="32"/>
  </si>
  <si>
    <t>(4)リモートSDV業務経費（継続）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</si>
  <si>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</si>
  <si>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(5)管理費</t>
    <rPh sb="3" eb="6">
      <t>カンリヒ</t>
    </rPh>
    <phoneticPr fontId="32"/>
  </si>
  <si>
    <t>（(1)+(2)+(3)+(4)）×0.2</t>
    <phoneticPr fontId="32"/>
  </si>
  <si>
    <t>(6)間接経費</t>
    <rPh sb="3" eb="5">
      <t>カンセツ</t>
    </rPh>
    <rPh sb="5" eb="7">
      <t>ケイヒ</t>
    </rPh>
    <phoneticPr fontId="32"/>
  </si>
  <si>
    <t>（(1)+(2)+(3)+(4)+(5)）×0.3</t>
    <phoneticPr fontId="32"/>
  </si>
  <si>
    <t>50,000円＋消費税 /年度　（該当する場合のみ）　</t>
    <rPh sb="6" eb="7">
      <t>エン</t>
    </rPh>
    <rPh sb="8" eb="11">
      <t>ショウヒゼイ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</si>
  <si>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</si>
  <si>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×30,000円＋消費税</t>
    <phoneticPr fontId="32"/>
  </si>
  <si>
    <t>(8)旅費</t>
    <rPh sb="3" eb="5">
      <t>リョヒ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</si>
  <si>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</si>
  <si>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(9)備品費</t>
    <rPh sb="3" eb="5">
      <t>ビヒン</t>
    </rPh>
    <rPh sb="5" eb="6">
      <t>ヒ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</si>
  <si>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</si>
  <si>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(10)リモートSDV業務経費</t>
    <rPh sb="11" eb="13">
      <t>ギョウム</t>
    </rPh>
    <rPh sb="13" eb="15">
      <t>ケイヒ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</si>
  <si>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</si>
  <si>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</si>
  <si>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(12)管理費</t>
    <rPh sb="4" eb="7">
      <t>カンリヒ</t>
    </rPh>
    <phoneticPr fontId="32"/>
  </si>
  <si>
    <t>(13)間接経費</t>
    <rPh sb="4" eb="6">
      <t>カンセツ</t>
    </rPh>
    <rPh sb="6" eb="8">
      <t>ケイヒ</t>
    </rPh>
    <phoneticPr fontId="32"/>
  </si>
  <si>
    <t>（(1)～(10)）×0.2</t>
    <phoneticPr fontId="32"/>
  </si>
  <si>
    <t>（(1)～（10）+（12））×0.3</t>
    <phoneticPr fontId="32"/>
  </si>
  <si>
    <t>(4)他科研究調整費</t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</si>
  <si>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</si>
  <si>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</si>
  <si>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</si>
  <si>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</si>
  <si>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</si>
  <si>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経費算定表（製造販売後臨床試験：医薬品）smo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9">
      <t>イヤクヒン</t>
    </rPh>
    <phoneticPr fontId="32"/>
  </si>
  <si>
    <t>150,000円＋消費税</t>
    <rPh sb="7" eb="8">
      <t>エン</t>
    </rPh>
    <phoneticPr fontId="32"/>
  </si>
  <si>
    <r>
      <t>60,000円＋消費税/年度</t>
    </r>
    <r>
      <rPr>
        <sz val="11"/>
        <color theme="1"/>
        <rFont val="ＭＳ Ｐゴシック"/>
        <family val="3"/>
        <charset val="128"/>
      </rPr>
      <t/>
    </r>
    <rPh sb="6" eb="7">
      <t>エン</t>
    </rPh>
    <rPh sb="12" eb="14">
      <t>ネンド</t>
    </rPh>
    <phoneticPr fontId="32"/>
  </si>
  <si>
    <t>×25,000円＋消費税</t>
    <phoneticPr fontId="1"/>
  </si>
  <si>
    <t>実施診療科</t>
    <rPh sb="0" eb="2">
      <t>ジッシ</t>
    </rPh>
    <rPh sb="2" eb="5">
      <t>シンリョウカ</t>
    </rPh>
    <phoneticPr fontId="1"/>
  </si>
  <si>
    <t>試験薬管理費</t>
  </si>
  <si>
    <t>放射線部</t>
    <rPh sb="0" eb="3">
      <t>ホウシャセン</t>
    </rPh>
    <rPh sb="3" eb="4">
      <t>ブ</t>
    </rPh>
    <phoneticPr fontId="1"/>
  </si>
  <si>
    <t>(5)検査管理費（継続）</t>
    <rPh sb="3" eb="8">
      <t>ケンサカンリヒ</t>
    </rPh>
    <rPh sb="9" eb="11">
      <t>ケイゾク</t>
    </rPh>
    <phoneticPr fontId="1"/>
  </si>
  <si>
    <t>(6)管理費</t>
    <rPh sb="3" eb="6">
      <t>カンリヒ</t>
    </rPh>
    <phoneticPr fontId="32"/>
  </si>
  <si>
    <t>（(1)+(2)+(3)+(4)+(5)）×0.2</t>
    <phoneticPr fontId="32"/>
  </si>
  <si>
    <t>(7)間接経費</t>
    <rPh sb="3" eb="5">
      <t>カンセツ</t>
    </rPh>
    <rPh sb="5" eb="7">
      <t>ケイヒ</t>
    </rPh>
    <phoneticPr fontId="32"/>
  </si>
  <si>
    <t>（(1)+(2)+(3)+(4)+(5)+(6)）×0.3</t>
    <phoneticPr fontId="32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</si>
  <si>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</si>
  <si>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32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</si>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</sst>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506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0" fontId="37" fillId="0" borderId="0" xfId="2" applyFont="1" applyProtection="1"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0" fontId="37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9" xfId="3" applyFont="1" applyFill="1" applyBorder="1" applyAlignment="1" applyProtection="1">
      <alignment horizontal="center" vertical="center" wrapText="1"/>
      <protection locked="0"/>
    </xf>
    <xf numFmtId="38" fontId="31" fillId="7" borderId="42" xfId="3" applyFont="1" applyFill="1" applyBorder="1" applyAlignment="1" applyProtection="1">
      <alignment horizontal="center" vertical="center" wrapText="1"/>
      <protection locked="0"/>
    </xf>
    <xf numFmtId="38" fontId="31" fillId="11" borderId="73" xfId="3" applyFont="1" applyFill="1" applyBorder="1" applyAlignment="1" applyProtection="1">
      <alignment horizontal="right" vertical="center"/>
      <protection locked="0"/>
    </xf>
    <xf numFmtId="38" fontId="31" fillId="11" borderId="1" xfId="3" applyFont="1" applyFill="1" applyBorder="1" applyAlignment="1" applyProtection="1">
      <alignment horizontal="left" vertical="center" wrapText="1"/>
      <protection locked="0"/>
    </xf>
    <xf numFmtId="38" fontId="31" fillId="11" borderId="1" xfId="3" applyFont="1" applyFill="1" applyBorder="1" applyAlignment="1" applyProtection="1">
      <alignment horizontal="center" vertical="center" wrapText="1"/>
      <protection locked="0"/>
    </xf>
    <xf numFmtId="38" fontId="31" fillId="11" borderId="48" xfId="3" applyFont="1" applyFill="1" applyBorder="1" applyAlignment="1" applyProtection="1">
      <alignment horizontal="center" vertical="center" wrapText="1"/>
      <protection locked="0"/>
    </xf>
    <xf numFmtId="38" fontId="31" fillId="11" borderId="49" xfId="3" applyFont="1" applyFill="1" applyBorder="1" applyAlignment="1" applyProtection="1">
      <alignment horizontal="center" vertical="center" wrapText="1"/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38" fontId="31" fillId="11" borderId="42" xfId="3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0" fontId="37" fillId="0" borderId="0" xfId="2" applyFont="1" applyAlignment="1" applyProtection="1">
      <alignment horizontal="left" vertical="center"/>
      <protection locked="0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50" xfId="3" applyFont="1" applyBorder="1" applyAlignment="1" applyProtection="1">
      <alignment horizontal="right"/>
      <protection locked="0"/>
    </xf>
    <xf numFmtId="0" fontId="31" fillId="0" borderId="50" xfId="2" applyBorder="1" applyProtection="1">
      <protection locked="0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34" fillId="0" borderId="0" xfId="2" applyFont="1" applyProtection="1"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1" xfId="3" applyFont="1" applyBorder="1" applyAlignment="1" applyProtection="1">
      <alignment horizontal="right" vertical="center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38" fontId="31" fillId="0" borderId="44" xfId="3" applyFont="1" applyBorder="1" applyAlignment="1" applyProtection="1">
      <alignment horizontal="right" vertical="center"/>
    </xf>
    <xf numFmtId="38" fontId="34" fillId="0" borderId="0" xfId="3" applyFont="1" applyAlignment="1" applyProtection="1">
      <alignment horizontal="right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right" vertical="center"/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right" vertical="center"/>
      <protection locked="0"/>
    </xf>
    <xf numFmtId="38" fontId="27" fillId="0" borderId="38" xfId="1" applyFont="1" applyFill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right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4" xfId="1" applyFont="1" applyFill="1" applyBorder="1" applyAlignment="1" applyProtection="1">
      <alignment horizontal="center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5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9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right" vertical="center"/>
      <protection locked="0"/>
    </xf>
    <xf numFmtId="0" fontId="25" fillId="0" borderId="64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1" xfId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center" vertical="center"/>
      <protection locked="0"/>
    </xf>
    <xf numFmtId="38" fontId="25" fillId="8" borderId="77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9" xfId="1" applyFont="1" applyFill="1" applyBorder="1" applyAlignment="1" applyProtection="1">
      <alignment horizontal="center" vertical="center"/>
      <protection locked="0"/>
    </xf>
    <xf numFmtId="38" fontId="25" fillId="8" borderId="79" xfId="1" applyFont="1" applyFill="1" applyBorder="1" applyAlignment="1" applyProtection="1">
      <alignment horizontal="center" vertical="center"/>
      <protection locked="0"/>
    </xf>
    <xf numFmtId="38" fontId="25" fillId="0" borderId="20" xfId="1" applyFont="1" applyFill="1" applyBorder="1" applyAlignment="1" applyProtection="1">
      <alignment horizontal="center" vertical="center"/>
    </xf>
    <xf numFmtId="38" fontId="27" fillId="0" borderId="33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left" vertical="center" wrapText="1"/>
      <protection locked="0"/>
    </xf>
    <xf numFmtId="38" fontId="31" fillId="0" borderId="49" xfId="3" applyFont="1" applyFill="1" applyBorder="1" applyAlignment="1" applyProtection="1">
      <alignment horizontal="left" vertical="center" wrapText="1"/>
      <protection locked="0"/>
    </xf>
    <xf numFmtId="0" fontId="31" fillId="0" borderId="42" xfId="2" applyBorder="1" applyAlignment="1" applyProtection="1">
      <alignment horizontal="left" vertical="center"/>
      <protection locked="0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7" xfId="2" applyBorder="1" applyProtection="1"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1" fillId="0" borderId="85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38" fontId="31" fillId="8" borderId="1" xfId="3" applyFont="1" applyFill="1" applyBorder="1" applyAlignment="1" applyProtection="1">
      <alignment horizontal="center" vertical="center" wrapText="1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0" xfId="2"/>
    <xf numFmtId="38" fontId="34" fillId="0" borderId="0" xfId="1" applyFont="1" applyAlignment="1" applyProtection="1">
      <alignment horizontal="right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0" fontId="31" fillId="0" borderId="9" xfId="2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11" borderId="48" xfId="3" applyFont="1" applyFill="1" applyBorder="1" applyAlignment="1" applyProtection="1">
      <alignment horizontal="left" vertical="center" wrapText="1"/>
      <protection locked="0"/>
    </xf>
    <xf numFmtId="38" fontId="31" fillId="11" borderId="49" xfId="3" applyFont="1" applyFill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12" borderId="0" xfId="2" applyFill="1" applyAlignment="1" applyProtection="1">
      <alignment horizontal="left" vertical="center"/>
      <protection locked="0"/>
    </xf>
    <xf numFmtId="38" fontId="31" fillId="11" borderId="0" xfId="3" applyFont="1" applyFill="1" applyBorder="1" applyAlignment="1" applyProtection="1">
      <alignment horizontal="left" vertical="center" wrapText="1"/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0" fontId="39" fillId="0" borderId="0" xfId="2" applyFont="1" applyProtection="1"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38" fontId="31" fillId="11" borderId="49" xfId="3" applyFont="1" applyFill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11" borderId="74" xfId="3" applyFont="1" applyFill="1" applyBorder="1" applyAlignment="1" applyProtection="1">
      <alignment horizontal="right" vertical="center"/>
      <protection locked="0"/>
    </xf>
    <xf numFmtId="38" fontId="31" fillId="11" borderId="75" xfId="3" applyFont="1" applyFill="1" applyBorder="1" applyAlignment="1" applyProtection="1">
      <alignment horizontal="right" vertical="center"/>
      <protection locked="0"/>
    </xf>
    <xf numFmtId="38" fontId="31" fillId="11" borderId="76" xfId="3" applyFont="1" applyFill="1" applyBorder="1" applyAlignment="1" applyProtection="1">
      <alignment horizontal="righ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88" xfId="3" applyFont="1" applyFill="1" applyBorder="1" applyAlignment="1" applyProtection="1">
      <alignment horizontal="left" vertical="center" wrapText="1"/>
      <protection locked="0"/>
    </xf>
    <xf numFmtId="38" fontId="31" fillId="0" borderId="23" xfId="3" applyFont="1" applyFill="1" applyBorder="1" applyAlignment="1" applyProtection="1">
      <alignment horizontal="left" vertical="center" wrapText="1"/>
      <protection locked="0"/>
    </xf>
    <xf numFmtId="38" fontId="31" fillId="0" borderId="89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31" fillId="0" borderId="46" xfId="3" applyFont="1" applyBorder="1" applyAlignment="1" applyProtection="1">
      <alignment horizontal="center" vertical="center"/>
      <protection locked="0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37" xfId="3" applyFont="1" applyFill="1" applyBorder="1" applyAlignment="1" applyProtection="1">
      <alignment horizontal="right" vertical="center"/>
      <protection locked="0"/>
    </xf>
    <xf numFmtId="38" fontId="41" fillId="0" borderId="39" xfId="3" applyFont="1" applyFill="1" applyBorder="1" applyAlignment="1" applyProtection="1">
      <alignment horizontal="righ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41" fillId="0" borderId="70" xfId="3" applyFont="1" applyFill="1" applyBorder="1" applyAlignment="1" applyProtection="1">
      <alignment horizontal="right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38" fontId="31" fillId="0" borderId="42" xfId="3" applyFont="1" applyFill="1" applyBorder="1" applyAlignment="1" applyProtection="1">
      <alignment horizontal="left" vertical="center"/>
      <protection locked="0"/>
    </xf>
    <xf numFmtId="0" fontId="31" fillId="0" borderId="1" xfId="0" applyFont="1" applyBorder="1" applyProtection="1">
      <protection locked="0"/>
    </xf>
    <xf numFmtId="38" fontId="31" fillId="0" borderId="41" xfId="3" applyFont="1" applyBorder="1" applyAlignment="1" applyProtection="1">
      <alignment horizontal="right" vertical="center"/>
    </xf>
    <xf numFmtId="38" fontId="31" fillId="0" borderId="47" xfId="3" applyFont="1" applyBorder="1" applyAlignment="1" applyProtection="1">
      <alignment horizontal="right" vertical="center"/>
    </xf>
    <xf numFmtId="38" fontId="31" fillId="0" borderId="42" xfId="3" applyFont="1" applyBorder="1" applyAlignment="1" applyProtection="1">
      <alignment horizontal="right" vertical="center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38" fontId="31" fillId="0" borderId="71" xfId="3" applyFont="1" applyFill="1" applyBorder="1" applyAlignment="1" applyProtection="1">
      <alignment horizontal="left" vertical="center"/>
      <protection locked="0"/>
    </xf>
    <xf numFmtId="0" fontId="31" fillId="0" borderId="72" xfId="2" applyBorder="1" applyAlignment="1" applyProtection="1">
      <alignment horizontal="center" vertical="center"/>
      <protection locked="0"/>
    </xf>
    <xf numFmtId="0" fontId="31" fillId="0" borderId="43" xfId="2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0" fontId="37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38" fontId="31" fillId="0" borderId="90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38" fontId="31" fillId="0" borderId="91" xfId="3" applyFont="1" applyFill="1" applyBorder="1" applyAlignment="1" applyProtection="1">
      <alignment horizontal="left" vertical="center"/>
      <protection locked="0"/>
    </xf>
    <xf numFmtId="38" fontId="31" fillId="11" borderId="1" xfId="3" applyFont="1" applyFill="1" applyBorder="1" applyAlignment="1" applyProtection="1">
      <alignment horizontal="left" vertical="center"/>
      <protection locked="0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1" fillId="11" borderId="4" xfId="2" applyFill="1" applyBorder="1" applyAlignment="1" applyProtection="1">
      <alignment horizontal="left" vertical="center" wrapText="1"/>
      <protection locked="0"/>
    </xf>
    <xf numFmtId="0" fontId="31" fillId="11" borderId="5" xfId="2" applyFill="1" applyBorder="1" applyAlignment="1" applyProtection="1">
      <alignment horizontal="left" vertical="center" wrapText="1"/>
      <protection locked="0"/>
    </xf>
    <xf numFmtId="38" fontId="31" fillId="0" borderId="90" xfId="3" applyFont="1" applyFill="1" applyBorder="1" applyAlignment="1" applyProtection="1">
      <alignment horizontal="left" vertical="center" wrapText="1"/>
      <protection locked="0"/>
    </xf>
    <xf numFmtId="38" fontId="31" fillId="0" borderId="38" xfId="3" applyFont="1" applyFill="1" applyBorder="1" applyAlignment="1" applyProtection="1">
      <alignment horizontal="left" vertical="center" wrapText="1"/>
      <protection locked="0"/>
    </xf>
    <xf numFmtId="38" fontId="31" fillId="0" borderId="91" xfId="3" applyFont="1" applyFill="1" applyBorder="1" applyAlignment="1" applyProtection="1">
      <alignment horizontal="left" vertical="center" wrapText="1"/>
      <protection locked="0"/>
    </xf>
    <xf numFmtId="38" fontId="34" fillId="0" borderId="67" xfId="3" applyFont="1" applyFill="1" applyBorder="1" applyAlignment="1" applyProtection="1">
      <alignment horizontal="left" vertical="center" wrapText="1"/>
      <protection locked="0"/>
    </xf>
    <xf numFmtId="38" fontId="34" fillId="0" borderId="37" xfId="3" applyFont="1" applyFill="1" applyBorder="1" applyAlignment="1" applyProtection="1">
      <alignment horizontal="left" vertical="center" wrapText="1"/>
      <protection locked="0"/>
    </xf>
    <xf numFmtId="38" fontId="34" fillId="0" borderId="39" xfId="3" applyFont="1" applyFill="1" applyBorder="1" applyAlignment="1" applyProtection="1">
      <alignment horizontal="left" vertical="center" wrapText="1"/>
      <protection locked="0"/>
    </xf>
    <xf numFmtId="38" fontId="31" fillId="0" borderId="67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39" xfId="3" applyFont="1" applyFill="1" applyBorder="1" applyAlignment="1" applyProtection="1">
      <alignment horizontal="left" vertical="center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right" vertical="center"/>
    </xf>
    <xf numFmtId="0" fontId="37" fillId="0" borderId="9" xfId="2" applyFont="1" applyBorder="1" applyAlignment="1">
      <alignment horizontal="left" vertical="center" wrapText="1"/>
    </xf>
    <xf numFmtId="38" fontId="31" fillId="0" borderId="88" xfId="3" applyFont="1" applyFill="1" applyBorder="1" applyAlignment="1" applyProtection="1">
      <alignment horizontal="left" vertical="center"/>
      <protection locked="0"/>
    </xf>
    <xf numFmtId="38" fontId="31" fillId="0" borderId="23" xfId="3" applyFont="1" applyFill="1" applyBorder="1" applyAlignment="1" applyProtection="1">
      <alignment horizontal="left" vertical="center"/>
      <protection locked="0"/>
    </xf>
    <xf numFmtId="38" fontId="31" fillId="0" borderId="89" xfId="3" applyFont="1" applyFill="1" applyBorder="1" applyAlignment="1" applyProtection="1">
      <alignment horizontal="left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/>
      <protection locked="0"/>
    </xf>
    <xf numFmtId="0" fontId="31" fillId="11" borderId="42" xfId="0" applyFont="1" applyFill="1" applyBorder="1" applyProtection="1">
      <protection locked="0"/>
    </xf>
    <xf numFmtId="0" fontId="31" fillId="11" borderId="2" xfId="2" applyFill="1" applyBorder="1" applyAlignment="1" applyProtection="1">
      <alignment horizontal="left" vertical="center" wrapText="1"/>
      <protection locked="0"/>
    </xf>
    <xf numFmtId="0" fontId="31" fillId="11" borderId="6" xfId="2" applyFill="1" applyBorder="1" applyAlignment="1" applyProtection="1">
      <alignment horizontal="left" vertical="center" wrapText="1"/>
      <protection locked="0"/>
    </xf>
    <xf numFmtId="0" fontId="31" fillId="11" borderId="3" xfId="2" applyFill="1" applyBorder="1" applyAlignment="1" applyProtection="1">
      <alignment horizontal="left" vertical="center" wrapText="1"/>
      <protection locked="0"/>
    </xf>
    <xf numFmtId="0" fontId="31" fillId="11" borderId="7" xfId="2" applyFill="1" applyBorder="1" applyAlignment="1" applyProtection="1">
      <alignment horizontal="left" vertical="center" wrapText="1"/>
      <protection locked="0"/>
    </xf>
    <xf numFmtId="38" fontId="31" fillId="11" borderId="48" xfId="3" applyFont="1" applyFill="1" applyBorder="1" applyAlignment="1" applyProtection="1">
      <alignment horizontal="left" vertical="center"/>
      <protection locked="0"/>
    </xf>
    <xf numFmtId="38" fontId="31" fillId="11" borderId="49" xfId="3" applyFont="1" applyFill="1" applyBorder="1" applyAlignment="1" applyProtection="1">
      <alignment horizontal="left" vertical="center"/>
      <protection locked="0"/>
    </xf>
    <xf numFmtId="38" fontId="31" fillId="11" borderId="48" xfId="3" applyFont="1" applyFill="1" applyBorder="1" applyAlignment="1" applyProtection="1">
      <alignment horizontal="left" vertical="center" wrapText="1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4" xfId="2" applyBorder="1" applyAlignment="1" applyProtection="1">
      <alignment horizontal="left" vertical="center"/>
      <protection locked="0"/>
    </xf>
    <xf numFmtId="0" fontId="31" fillId="0" borderId="86" xfId="2" applyBorder="1" applyAlignment="1" applyProtection="1">
      <alignment horizontal="left" vertical="center"/>
      <protection locked="0"/>
    </xf>
    <xf numFmtId="0" fontId="31" fillId="0" borderId="87" xfId="2" applyBorder="1" applyAlignment="1" applyProtection="1">
      <alignment horizontal="left" vertical="center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3" fontId="27" fillId="0" borderId="56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3" fontId="27" fillId="0" borderId="57" xfId="0" applyNumberFormat="1" applyFont="1" applyBorder="1" applyAlignment="1" applyProtection="1">
      <alignment horizontal="center" vertical="center"/>
      <protection locked="0"/>
    </xf>
    <xf numFmtId="3" fontId="27" fillId="0" borderId="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>
      <alignment horizontal="center" vertical="center"/>
    </xf>
    <xf numFmtId="177" fontId="25" fillId="0" borderId="59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right" vertical="center"/>
      <protection locked="0"/>
    </xf>
    <xf numFmtId="38" fontId="27" fillId="0" borderId="30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63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5" fillId="0" borderId="62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38" fontId="25" fillId="0" borderId="28" xfId="1" applyFont="1" applyFill="1" applyBorder="1" applyAlignment="1" applyProtection="1">
      <alignment horizontal="right" vertical="center"/>
    </xf>
    <xf numFmtId="38" fontId="25" fillId="0" borderId="35" xfId="1" applyFont="1" applyFill="1" applyBorder="1" applyAlignment="1" applyProtection="1">
      <alignment horizontal="right" vertical="center"/>
    </xf>
    <xf numFmtId="177" fontId="25" fillId="0" borderId="78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177" fontId="25" fillId="0" borderId="59" xfId="0" applyNumberFormat="1" applyFont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38" fontId="27" fillId="0" borderId="57" xfId="1" quotePrefix="1" applyFont="1" applyFill="1" applyBorder="1" applyAlignment="1" applyProtection="1">
      <alignment horizontal="center" vertical="center"/>
      <protection locked="0"/>
    </xf>
    <xf numFmtId="38" fontId="27" fillId="0" borderId="53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3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6" xfId="1" applyFont="1" applyFill="1" applyBorder="1" applyAlignment="1" applyProtection="1">
      <alignment horizontal="right" vertical="center"/>
    </xf>
    <xf numFmtId="38" fontId="25" fillId="0" borderId="57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34" xfId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38" fontId="27" fillId="0" borderId="65" xfId="1" applyFont="1" applyFill="1" applyBorder="1" applyAlignment="1" applyProtection="1">
      <alignment horizontal="right" vertical="center"/>
      <protection locked="0"/>
    </xf>
    <xf numFmtId="38" fontId="27" fillId="0" borderId="40" xfId="1" applyFont="1" applyFill="1" applyBorder="1" applyAlignment="1" applyProtection="1">
      <alignment horizontal="right" vertical="center"/>
      <protection locked="0"/>
    </xf>
    <xf numFmtId="38" fontId="25" fillId="0" borderId="27" xfId="1" applyFont="1" applyFill="1" applyBorder="1" applyAlignment="1" applyProtection="1">
      <alignment horizontal="right" vertical="center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38" fontId="25" fillId="0" borderId="3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" fontId="4" fillId="0" borderId="55" xfId="0" applyNumberFormat="1" applyFont="1" applyBorder="1" applyAlignment="1" applyProtection="1">
      <alignment horizontal="left" vertical="center"/>
      <protection locked="0"/>
    </xf>
    <xf numFmtId="3" fontId="4" fillId="0" borderId="5" xfId="0" applyNumberFormat="1" applyFont="1" applyBorder="1" applyAlignment="1" applyProtection="1">
      <alignment horizontal="left" vertical="center"/>
      <protection locked="0"/>
    </xf>
    <xf numFmtId="3" fontId="4" fillId="0" borderId="56" xfId="0" applyNumberFormat="1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30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3"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2"/>
  <sheetViews>
    <sheetView tabSelected="1" view="pageBreakPreview" zoomScaleNormal="100" zoomScaleSheetLayoutView="100" zoomScalePageLayoutView="85" workbookViewId="0">
      <selection activeCell="B12" sqref="B12:C12"/>
    </sheetView>
  </sheetViews>
  <sheetFormatPr defaultRowHeight="13.5"/>
  <cols>
    <col min="1" max="1" width="9" style="2"/>
    <col min="2" max="3" width="14" style="2" customWidth="1"/>
    <col min="4" max="4" width="14.875" style="7" customWidth="1"/>
    <col min="5" max="5" width="10.375" style="2" customWidth="1"/>
    <col min="6" max="6" width="5.375" style="2" customWidth="1"/>
    <col min="7" max="7" width="3.25" style="2" customWidth="1"/>
    <col min="8" max="8" width="7.125" style="2" bestFit="1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7.87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299" t="s">
        <v>196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7" t="s">
        <v>73</v>
      </c>
      <c r="C3" s="300"/>
      <c r="D3" s="300"/>
      <c r="E3" s="300"/>
      <c r="F3" s="300"/>
      <c r="G3" s="300"/>
      <c r="H3" s="300"/>
      <c r="I3" s="300"/>
      <c r="J3" s="300"/>
      <c r="K3" s="300"/>
      <c r="L3" s="301"/>
      <c r="M3" s="6"/>
      <c r="N3" s="6"/>
    </row>
    <row r="4" spans="2:14" ht="39" customHeight="1">
      <c r="B4" s="158" t="s">
        <v>124</v>
      </c>
      <c r="C4" s="302"/>
      <c r="D4" s="302"/>
      <c r="E4" s="302"/>
      <c r="F4" s="302"/>
      <c r="G4" s="302"/>
      <c r="H4" s="302"/>
      <c r="I4" s="302"/>
      <c r="J4" s="302"/>
      <c r="K4" s="302"/>
      <c r="L4" s="303"/>
      <c r="M4" s="3"/>
      <c r="N4" s="3"/>
    </row>
    <row r="5" spans="2:14" ht="20.100000000000001" customHeight="1">
      <c r="B5" s="158" t="s">
        <v>74</v>
      </c>
      <c r="C5" s="302"/>
      <c r="D5" s="302"/>
      <c r="E5" s="302"/>
      <c r="F5" s="302"/>
      <c r="G5" s="302"/>
      <c r="H5" s="302"/>
      <c r="I5" s="302"/>
      <c r="J5" s="302"/>
      <c r="K5" s="302"/>
      <c r="L5" s="303"/>
    </row>
    <row r="6" spans="2:14" ht="20.100000000000001" customHeight="1" thickBot="1">
      <c r="B6" s="159" t="s">
        <v>75</v>
      </c>
      <c r="C6" s="304"/>
      <c r="D6" s="304"/>
      <c r="E6" s="304"/>
      <c r="F6" s="304"/>
      <c r="G6" s="304"/>
      <c r="H6" s="304"/>
      <c r="I6" s="304"/>
      <c r="J6" s="304"/>
      <c r="K6" s="304"/>
      <c r="L6" s="305"/>
    </row>
    <row r="7" spans="2:14" ht="20.100000000000001" customHeight="1">
      <c r="B7" s="154" t="s">
        <v>76</v>
      </c>
      <c r="C7" s="180" t="s">
        <v>167</v>
      </c>
      <c r="D7" s="155"/>
      <c r="E7" s="268" t="s">
        <v>153</v>
      </c>
      <c r="F7" s="269"/>
      <c r="G7" s="270"/>
      <c r="H7" s="161"/>
      <c r="I7" s="15"/>
      <c r="J7" s="15"/>
      <c r="K7" s="15"/>
      <c r="L7" s="156"/>
    </row>
    <row r="8" spans="2:14" ht="15.75" customHeight="1"/>
    <row r="9" spans="2:14" ht="15" customHeight="1">
      <c r="B9" s="8" t="s">
        <v>121</v>
      </c>
    </row>
    <row r="10" spans="2:14" ht="17.100000000000001" customHeight="1">
      <c r="B10" s="216" t="s">
        <v>77</v>
      </c>
      <c r="C10" s="217"/>
      <c r="D10" s="178" t="s">
        <v>78</v>
      </c>
      <c r="E10" s="263" t="s">
        <v>79</v>
      </c>
      <c r="F10" s="261"/>
      <c r="G10" s="261"/>
      <c r="H10" s="261"/>
      <c r="I10" s="261"/>
      <c r="J10" s="261"/>
      <c r="K10" s="261"/>
      <c r="L10" s="262"/>
      <c r="M10" s="186" t="s">
        <v>191</v>
      </c>
    </row>
    <row r="11" spans="2:14" s="3" customFormat="1" ht="15" customHeight="1">
      <c r="B11" s="203" t="s">
        <v>81</v>
      </c>
      <c r="C11" s="204"/>
      <c r="D11" s="9"/>
      <c r="E11" s="198" t="s">
        <v>169</v>
      </c>
      <c r="F11" s="199"/>
      <c r="G11" s="199"/>
      <c r="H11" s="199"/>
      <c r="I11" s="199"/>
      <c r="J11" s="199"/>
      <c r="K11" s="199"/>
      <c r="L11" s="200"/>
      <c r="M11" s="181" t="s">
        <v>151</v>
      </c>
    </row>
    <row r="12" spans="2:14" s="3" customFormat="1" ht="15" customHeight="1">
      <c r="B12" s="196" t="s">
        <v>82</v>
      </c>
      <c r="C12" s="197"/>
      <c r="D12" s="185"/>
      <c r="E12" s="198" t="s">
        <v>197</v>
      </c>
      <c r="F12" s="199"/>
      <c r="G12" s="199"/>
      <c r="H12" s="199"/>
      <c r="I12" s="199"/>
      <c r="J12" s="199"/>
      <c r="K12" s="199"/>
      <c r="L12" s="200"/>
      <c r="M12" s="181" t="s">
        <v>151</v>
      </c>
    </row>
    <row r="13" spans="2:14" s="3" customFormat="1" ht="15" customHeight="1">
      <c r="B13" s="218" t="s">
        <v>119</v>
      </c>
      <c r="C13" s="219"/>
      <c r="D13" s="185"/>
      <c r="E13" s="198" t="s">
        <v>120</v>
      </c>
      <c r="F13" s="199"/>
      <c r="G13" s="199"/>
      <c r="H13" s="199"/>
      <c r="I13" s="199"/>
      <c r="J13" s="199"/>
      <c r="K13" s="199"/>
      <c r="L13" s="200"/>
      <c r="M13" s="181" t="str">
        <f>IF($M$53="","※M51に講座名入力",$M$53)</f>
        <v>※M51に講座名入力</v>
      </c>
    </row>
    <row r="14" spans="2:14" s="3" customFormat="1" ht="15" customHeight="1">
      <c r="B14" s="196" t="s">
        <v>210</v>
      </c>
      <c r="C14" s="197"/>
      <c r="D14" s="194"/>
      <c r="E14" s="198" t="s">
        <v>209</v>
      </c>
      <c r="F14" s="199"/>
      <c r="G14" s="199"/>
      <c r="H14" s="199"/>
      <c r="I14" s="199"/>
      <c r="J14" s="199"/>
      <c r="K14" s="199"/>
      <c r="L14" s="200"/>
      <c r="M14" s="195" t="s">
        <v>151</v>
      </c>
    </row>
    <row r="15" spans="2:14" s="3" customFormat="1" ht="15" customHeight="1">
      <c r="B15" s="203" t="s">
        <v>172</v>
      </c>
      <c r="C15" s="204"/>
      <c r="D15" s="45">
        <f>ROUNDDOWN(SUM(D11:D14)*0.2,0)</f>
        <v>0</v>
      </c>
      <c r="E15" s="253" t="s">
        <v>173</v>
      </c>
      <c r="F15" s="253"/>
      <c r="G15" s="253"/>
      <c r="H15" s="253"/>
      <c r="I15" s="253"/>
      <c r="J15" s="253"/>
      <c r="K15" s="253"/>
      <c r="L15" s="253"/>
      <c r="M15" s="181" t="s">
        <v>151</v>
      </c>
    </row>
    <row r="16" spans="2:14" s="3" customFormat="1" ht="15" customHeight="1">
      <c r="B16" s="203" t="s">
        <v>174</v>
      </c>
      <c r="C16" s="204"/>
      <c r="D16" s="45">
        <f>ROUNDDOWN(SUM(D11:D15)*0.3,0)</f>
        <v>0</v>
      </c>
      <c r="E16" s="253" t="s">
        <v>175</v>
      </c>
      <c r="F16" s="253"/>
      <c r="G16" s="253"/>
      <c r="H16" s="253"/>
      <c r="I16" s="253"/>
      <c r="J16" s="253"/>
      <c r="K16" s="253"/>
      <c r="L16" s="253"/>
      <c r="M16" s="10" t="s">
        <v>192</v>
      </c>
    </row>
    <row r="17" spans="2:13" s="3" customFormat="1" ht="17.100000000000001" customHeight="1">
      <c r="B17" s="216" t="s">
        <v>84</v>
      </c>
      <c r="C17" s="217"/>
      <c r="D17" s="46">
        <f>SUM(D11:D16)</f>
        <v>0</v>
      </c>
      <c r="E17" s="11"/>
      <c r="F17" s="12"/>
      <c r="G17" s="12"/>
      <c r="H17" s="12"/>
      <c r="I17" s="12"/>
      <c r="J17" s="12"/>
      <c r="K17" s="12"/>
      <c r="L17" s="13"/>
      <c r="M17" s="187"/>
    </row>
    <row r="18" spans="2:13" s="3" customFormat="1" ht="15" customHeight="1">
      <c r="B18" s="214"/>
      <c r="C18" s="214"/>
      <c r="D18" s="214"/>
      <c r="E18" s="215"/>
      <c r="F18" s="215"/>
      <c r="G18" s="215"/>
      <c r="H18" s="215"/>
      <c r="I18" s="215"/>
      <c r="J18" s="215"/>
    </row>
    <row r="19" spans="2:13" s="3" customFormat="1" ht="15" customHeight="1">
      <c r="B19" s="14" t="s">
        <v>122</v>
      </c>
      <c r="C19" s="15"/>
      <c r="D19" s="15"/>
      <c r="E19" s="2"/>
      <c r="F19" s="2"/>
      <c r="G19" s="2"/>
      <c r="H19" s="2"/>
      <c r="I19" s="2"/>
      <c r="J19" s="2"/>
    </row>
    <row r="20" spans="2:13" ht="15" customHeight="1">
      <c r="B20" s="216" t="s">
        <v>77</v>
      </c>
      <c r="C20" s="217"/>
      <c r="D20" s="178" t="s">
        <v>78</v>
      </c>
      <c r="E20" s="213" t="s">
        <v>79</v>
      </c>
      <c r="F20" s="213"/>
      <c r="G20" s="213"/>
      <c r="H20" s="213"/>
      <c r="I20" s="213"/>
      <c r="J20" s="213"/>
      <c r="K20" s="213"/>
      <c r="L20" s="213"/>
    </row>
    <row r="21" spans="2:13" s="3" customFormat="1" ht="15" customHeight="1">
      <c r="B21" s="203" t="s">
        <v>80</v>
      </c>
      <c r="C21" s="204"/>
      <c r="D21" s="9"/>
      <c r="E21" s="253" t="s">
        <v>114</v>
      </c>
      <c r="F21" s="253"/>
      <c r="G21" s="253"/>
      <c r="H21" s="253"/>
      <c r="I21" s="253"/>
      <c r="J21" s="253"/>
      <c r="K21" s="253"/>
      <c r="L21" s="253"/>
      <c r="M21" s="181" t="s">
        <v>151</v>
      </c>
    </row>
    <row r="22" spans="2:13" s="3" customFormat="1" ht="15" customHeight="1">
      <c r="B22" s="196" t="s">
        <v>100</v>
      </c>
      <c r="C22" s="197"/>
      <c r="D22" s="185"/>
      <c r="E22" s="253" t="s">
        <v>198</v>
      </c>
      <c r="F22" s="253"/>
      <c r="G22" s="253"/>
      <c r="H22" s="253"/>
      <c r="I22" s="253"/>
      <c r="J22" s="253"/>
      <c r="K22" s="253"/>
      <c r="L22" s="253"/>
      <c r="M22" s="181" t="s">
        <v>151</v>
      </c>
    </row>
    <row r="23" spans="2:13" s="3" customFormat="1" ht="15" customHeight="1">
      <c r="B23" s="218" t="s">
        <v>118</v>
      </c>
      <c r="C23" s="219"/>
      <c r="D23" s="9"/>
      <c r="E23" s="253" t="s">
        <v>176</v>
      </c>
      <c r="F23" s="253"/>
      <c r="G23" s="253"/>
      <c r="H23" s="253"/>
      <c r="I23" s="253"/>
      <c r="J23" s="253"/>
      <c r="K23" s="253"/>
      <c r="L23" s="253"/>
      <c r="M23" s="181" t="str">
        <f>IF($M$53="","※M51に講座名入力",$M$53)</f>
        <v>※M51に講座名入力</v>
      </c>
    </row>
    <row r="24" spans="2:13" s="3" customFormat="1" ht="15" customHeight="1">
      <c r="B24" s="196" t="s">
        <v>170</v>
      </c>
      <c r="C24" s="197"/>
      <c r="D24" s="9"/>
      <c r="E24" s="198" t="s">
        <v>171</v>
      </c>
      <c r="F24" s="199"/>
      <c r="G24" s="199"/>
      <c r="H24" s="199"/>
      <c r="I24" s="199"/>
      <c r="J24" s="199"/>
      <c r="K24" s="199"/>
      <c r="L24" s="200"/>
      <c r="M24" s="181" t="s">
        <v>151</v>
      </c>
    </row>
    <row r="25" spans="2:13" s="3" customFormat="1" ht="15" customHeight="1">
      <c r="B25" s="196" t="s">
        <v>203</v>
      </c>
      <c r="C25" s="197"/>
      <c r="D25" s="9"/>
      <c r="E25" s="198" t="s">
        <v>208</v>
      </c>
      <c r="F25" s="199"/>
      <c r="G25" s="199"/>
      <c r="H25" s="199"/>
      <c r="I25" s="199"/>
      <c r="J25" s="199"/>
      <c r="K25" s="199"/>
      <c r="L25" s="200"/>
      <c r="M25" s="195" t="s">
        <v>151</v>
      </c>
    </row>
    <row r="26" spans="2:13" s="3" customFormat="1" ht="15" customHeight="1">
      <c r="B26" s="203" t="s">
        <v>204</v>
      </c>
      <c r="C26" s="204"/>
      <c r="D26" s="45">
        <f>ROUNDDOWN((D21+D22+D23+D24+D25)*0.2,0)</f>
        <v>0</v>
      </c>
      <c r="E26" s="253" t="s">
        <v>205</v>
      </c>
      <c r="F26" s="253"/>
      <c r="G26" s="253"/>
      <c r="H26" s="253"/>
      <c r="I26" s="253"/>
      <c r="J26" s="253"/>
      <c r="K26" s="253"/>
      <c r="L26" s="253"/>
      <c r="M26" s="181" t="s">
        <v>151</v>
      </c>
    </row>
    <row r="27" spans="2:13" s="3" customFormat="1" ht="15" customHeight="1">
      <c r="B27" s="203" t="s">
        <v>206</v>
      </c>
      <c r="C27" s="204"/>
      <c r="D27" s="45">
        <f>ROUNDDOWN((D21+D22+D23+D24+D25+D26)*0.3,0)</f>
        <v>0</v>
      </c>
      <c r="E27" s="253" t="s">
        <v>207</v>
      </c>
      <c r="F27" s="253"/>
      <c r="G27" s="253"/>
      <c r="H27" s="253"/>
      <c r="I27" s="253"/>
      <c r="J27" s="253"/>
      <c r="K27" s="253"/>
      <c r="L27" s="253"/>
      <c r="M27" s="181" t="s">
        <v>193</v>
      </c>
    </row>
    <row r="28" spans="2:13" s="3" customFormat="1" ht="17.100000000000001" customHeight="1">
      <c r="B28" s="216" t="s">
        <v>89</v>
      </c>
      <c r="C28" s="217"/>
      <c r="D28" s="45">
        <f>SUM(D21:D27)</f>
        <v>0</v>
      </c>
      <c r="E28" s="237"/>
      <c r="F28" s="237"/>
      <c r="G28" s="237"/>
      <c r="H28" s="237"/>
      <c r="I28" s="237"/>
      <c r="J28" s="237"/>
      <c r="K28" s="237"/>
      <c r="L28" s="237"/>
    </row>
    <row r="29" spans="2:13" s="3" customFormat="1" ht="15" customHeight="1">
      <c r="B29" s="16"/>
      <c r="C29" s="16"/>
      <c r="D29" s="17"/>
      <c r="E29" s="181"/>
      <c r="F29" s="181"/>
      <c r="G29" s="181"/>
      <c r="H29" s="181"/>
      <c r="I29" s="181"/>
      <c r="J29" s="181"/>
    </row>
    <row r="30" spans="2:13" s="3" customFormat="1" ht="15" customHeight="1">
      <c r="B30" s="285" t="s">
        <v>177</v>
      </c>
      <c r="C30" s="285"/>
      <c r="D30" s="18"/>
      <c r="E30" s="227"/>
      <c r="F30" s="227"/>
      <c r="G30" s="227"/>
      <c r="H30" s="227"/>
      <c r="I30" s="227"/>
      <c r="J30" s="227"/>
    </row>
    <row r="31" spans="2:13" ht="17.100000000000001" customHeight="1">
      <c r="B31" s="216" t="s">
        <v>77</v>
      </c>
      <c r="C31" s="217"/>
      <c r="D31" s="178" t="s">
        <v>78</v>
      </c>
      <c r="E31" s="213" t="s">
        <v>79</v>
      </c>
      <c r="F31" s="213"/>
      <c r="G31" s="213"/>
      <c r="H31" s="213"/>
      <c r="I31" s="213"/>
      <c r="J31" s="213"/>
      <c r="K31" s="213"/>
      <c r="L31" s="213"/>
    </row>
    <row r="32" spans="2:13" s="3" customFormat="1" ht="15" customHeight="1">
      <c r="B32" s="203" t="s">
        <v>142</v>
      </c>
      <c r="C32" s="204"/>
      <c r="D32" s="46">
        <f>F32*30000*1.1</f>
        <v>0</v>
      </c>
      <c r="E32" s="176" t="s">
        <v>83</v>
      </c>
      <c r="F32" s="171"/>
      <c r="G32" s="205" t="s">
        <v>178</v>
      </c>
      <c r="H32" s="206"/>
      <c r="I32" s="206"/>
      <c r="J32" s="206"/>
      <c r="K32" s="206"/>
      <c r="L32" s="207"/>
    </row>
    <row r="33" spans="2:16" s="3" customFormat="1" ht="15" customHeight="1">
      <c r="B33" s="203" t="s">
        <v>125</v>
      </c>
      <c r="C33" s="204"/>
      <c r="D33" s="47">
        <f>F33*5000*1.1</f>
        <v>0</v>
      </c>
      <c r="E33" s="176" t="s">
        <v>101</v>
      </c>
      <c r="F33" s="162"/>
      <c r="G33" s="205" t="s">
        <v>154</v>
      </c>
      <c r="H33" s="206"/>
      <c r="I33" s="206"/>
      <c r="J33" s="206"/>
      <c r="K33" s="206"/>
      <c r="L33" s="207"/>
    </row>
    <row r="34" spans="2:16" s="3" customFormat="1" ht="15" customHeight="1">
      <c r="B34" s="203" t="s">
        <v>86</v>
      </c>
      <c r="C34" s="204"/>
      <c r="D34" s="179">
        <f>F34*I34*10000*1.1</f>
        <v>0</v>
      </c>
      <c r="E34" s="176" t="s">
        <v>101</v>
      </c>
      <c r="F34" s="162"/>
      <c r="G34" s="177"/>
      <c r="H34" s="185" t="s">
        <v>103</v>
      </c>
      <c r="I34" s="162"/>
      <c r="J34" s="198" t="s">
        <v>155</v>
      </c>
      <c r="K34" s="199"/>
      <c r="L34" s="200"/>
      <c r="M34" s="20"/>
      <c r="N34" s="20"/>
    </row>
    <row r="35" spans="2:16" s="3" customFormat="1" ht="15" customHeight="1">
      <c r="B35" s="172" t="s">
        <v>190</v>
      </c>
      <c r="C35" s="160"/>
      <c r="D35" s="48">
        <f>I35*50000*1.1</f>
        <v>0</v>
      </c>
      <c r="E35" s="21" t="s">
        <v>113</v>
      </c>
      <c r="F35" s="208" t="s">
        <v>156</v>
      </c>
      <c r="G35" s="208"/>
      <c r="H35" s="209"/>
      <c r="I35" s="162"/>
      <c r="J35" s="205" t="s">
        <v>157</v>
      </c>
      <c r="K35" s="206"/>
      <c r="L35" s="207"/>
      <c r="M35" s="181"/>
      <c r="N35" s="20"/>
      <c r="O35" s="20"/>
      <c r="P35" s="20"/>
    </row>
    <row r="36" spans="2:16" s="3" customFormat="1" ht="15" customHeight="1">
      <c r="B36" s="218" t="s">
        <v>102</v>
      </c>
      <c r="C36" s="219"/>
      <c r="D36" s="282">
        <f>(I36*5000*1.1)+(I37*20000*1.1)+(I38*30000*1.1)</f>
        <v>0</v>
      </c>
      <c r="E36" s="276" t="s">
        <v>109</v>
      </c>
      <c r="F36" s="277"/>
      <c r="G36" s="278"/>
      <c r="H36" s="22" t="s">
        <v>107</v>
      </c>
      <c r="I36" s="23"/>
      <c r="J36" s="279" t="s">
        <v>104</v>
      </c>
      <c r="K36" s="280"/>
      <c r="L36" s="281"/>
      <c r="M36" s="3" t="s">
        <v>146</v>
      </c>
    </row>
    <row r="37" spans="2:16" s="3" customFormat="1" ht="15" customHeight="1">
      <c r="B37" s="220"/>
      <c r="C37" s="221"/>
      <c r="D37" s="283"/>
      <c r="E37" s="224" t="s">
        <v>144</v>
      </c>
      <c r="F37" s="225"/>
      <c r="G37" s="226"/>
      <c r="H37" s="153" t="s">
        <v>107</v>
      </c>
      <c r="I37" s="24"/>
      <c r="J37" s="286" t="s">
        <v>105</v>
      </c>
      <c r="K37" s="287"/>
      <c r="L37" s="288"/>
      <c r="M37" s="188"/>
    </row>
    <row r="38" spans="2:16" s="3" customFormat="1" ht="15" customHeight="1">
      <c r="B38" s="222"/>
      <c r="C38" s="223"/>
      <c r="D38" s="284"/>
      <c r="E38" s="273" t="s">
        <v>108</v>
      </c>
      <c r="F38" s="274"/>
      <c r="G38" s="275"/>
      <c r="H38" s="152" t="s">
        <v>107</v>
      </c>
      <c r="I38" s="25"/>
      <c r="J38" s="264" t="s">
        <v>106</v>
      </c>
      <c r="K38" s="265"/>
      <c r="L38" s="266"/>
      <c r="M38" s="188"/>
    </row>
    <row r="39" spans="2:16" s="3" customFormat="1" ht="15" customHeight="1">
      <c r="B39" s="271" t="s">
        <v>137</v>
      </c>
      <c r="C39" s="272"/>
      <c r="D39" s="26"/>
      <c r="E39" s="27" t="s">
        <v>87</v>
      </c>
      <c r="F39" s="28"/>
      <c r="G39" s="267" t="s">
        <v>138</v>
      </c>
      <c r="H39" s="267"/>
      <c r="I39" s="267"/>
      <c r="J39" s="267"/>
      <c r="K39" s="267"/>
      <c r="L39" s="267"/>
      <c r="M39" s="189"/>
    </row>
    <row r="40" spans="2:16" s="3" customFormat="1" ht="15" customHeight="1">
      <c r="B40" s="271" t="s">
        <v>143</v>
      </c>
      <c r="C40" s="272"/>
      <c r="D40" s="210"/>
      <c r="E40" s="298" t="s">
        <v>112</v>
      </c>
      <c r="F40" s="298"/>
      <c r="G40" s="298"/>
      <c r="H40" s="182" t="s">
        <v>107</v>
      </c>
      <c r="I40" s="29"/>
      <c r="J40" s="296" t="s">
        <v>104</v>
      </c>
      <c r="K40" s="296"/>
      <c r="L40" s="296"/>
      <c r="M40" s="189"/>
    </row>
    <row r="41" spans="2:16" s="3" customFormat="1" ht="15" customHeight="1">
      <c r="B41" s="292"/>
      <c r="C41" s="293"/>
      <c r="D41" s="211"/>
      <c r="E41" s="201" t="s">
        <v>111</v>
      </c>
      <c r="F41" s="201"/>
      <c r="G41" s="201"/>
      <c r="H41" s="183" t="s">
        <v>107</v>
      </c>
      <c r="I41" s="30"/>
      <c r="J41" s="297" t="s">
        <v>139</v>
      </c>
      <c r="K41" s="297"/>
      <c r="L41" s="297"/>
      <c r="M41" s="190"/>
      <c r="N41" s="31"/>
    </row>
    <row r="42" spans="2:16" s="3" customFormat="1" ht="15" customHeight="1">
      <c r="B42" s="294"/>
      <c r="C42" s="295"/>
      <c r="D42" s="212"/>
      <c r="E42" s="202" t="s">
        <v>110</v>
      </c>
      <c r="F42" s="202"/>
      <c r="G42" s="202"/>
      <c r="H42" s="184" t="s">
        <v>107</v>
      </c>
      <c r="I42" s="32"/>
      <c r="J42" s="290" t="s">
        <v>140</v>
      </c>
      <c r="K42" s="291"/>
      <c r="L42" s="291"/>
      <c r="M42" s="190"/>
      <c r="N42" s="31"/>
    </row>
    <row r="43" spans="2:16" s="3" customFormat="1" ht="15" customHeight="1">
      <c r="B43" s="203" t="s">
        <v>179</v>
      </c>
      <c r="C43" s="204"/>
      <c r="D43" s="9"/>
      <c r="E43" s="198" t="s">
        <v>180</v>
      </c>
      <c r="F43" s="199"/>
      <c r="G43" s="199"/>
      <c r="H43" s="199"/>
      <c r="I43" s="199"/>
      <c r="J43" s="199"/>
      <c r="K43" s="199"/>
      <c r="L43" s="200"/>
      <c r="M43" s="181" t="str">
        <f>IF($M$53="","※M51に講座名入力",$M$53)</f>
        <v>※M51に講座名入力</v>
      </c>
      <c r="N43" s="31"/>
    </row>
    <row r="44" spans="2:16" s="3" customFormat="1" ht="15" customHeight="1">
      <c r="B44" s="203" t="s">
        <v>181</v>
      </c>
      <c r="C44" s="204"/>
      <c r="D44" s="9"/>
      <c r="E44" s="198" t="s">
        <v>182</v>
      </c>
      <c r="F44" s="199"/>
      <c r="G44" s="199"/>
      <c r="H44" s="199"/>
      <c r="I44" s="199"/>
      <c r="J44" s="199"/>
      <c r="K44" s="199"/>
      <c r="L44" s="200"/>
      <c r="M44" s="181" t="s">
        <v>151</v>
      </c>
      <c r="N44" s="31"/>
    </row>
    <row r="45" spans="2:16" s="3" customFormat="1" ht="15" customHeight="1">
      <c r="B45" s="196" t="s">
        <v>183</v>
      </c>
      <c r="C45" s="204"/>
      <c r="D45" s="9"/>
      <c r="E45" s="198" t="s">
        <v>184</v>
      </c>
      <c r="F45" s="199"/>
      <c r="G45" s="199"/>
      <c r="H45" s="199"/>
      <c r="I45" s="199"/>
      <c r="J45" s="199"/>
      <c r="K45" s="199"/>
      <c r="L45" s="200"/>
      <c r="M45" s="181" t="s">
        <v>151</v>
      </c>
      <c r="N45" s="31"/>
    </row>
    <row r="46" spans="2:16" s="3" customFormat="1" ht="15" customHeight="1">
      <c r="B46" s="203" t="s">
        <v>185</v>
      </c>
      <c r="C46" s="204"/>
      <c r="D46" s="46">
        <f>F46*7000</f>
        <v>0</v>
      </c>
      <c r="E46" s="176" t="s">
        <v>88</v>
      </c>
      <c r="F46" s="19"/>
      <c r="G46" s="205" t="s">
        <v>91</v>
      </c>
      <c r="H46" s="206"/>
      <c r="I46" s="206"/>
      <c r="J46" s="206"/>
      <c r="K46" s="206"/>
      <c r="L46" s="207"/>
      <c r="M46" s="181" t="s">
        <v>194</v>
      </c>
    </row>
    <row r="47" spans="2:16" s="3" customFormat="1" ht="15" customHeight="1">
      <c r="B47" s="203" t="s">
        <v>186</v>
      </c>
      <c r="C47" s="204"/>
      <c r="D47" s="45">
        <f>ROUNDDOWN((SUM(D32:D45))*0.2,0)</f>
        <v>0</v>
      </c>
      <c r="E47" s="289" t="s">
        <v>188</v>
      </c>
      <c r="F47" s="259"/>
      <c r="G47" s="259"/>
      <c r="H47" s="259"/>
      <c r="I47" s="259"/>
      <c r="J47" s="259"/>
      <c r="K47" s="259"/>
      <c r="L47" s="260"/>
      <c r="M47" s="181" t="s">
        <v>151</v>
      </c>
    </row>
    <row r="48" spans="2:16" s="3" customFormat="1" ht="15" customHeight="1">
      <c r="B48" s="203" t="s">
        <v>187</v>
      </c>
      <c r="C48" s="204"/>
      <c r="D48" s="45">
        <f>ROUNDDOWN((SUM(D32:D45)+D47)*0.3,0)</f>
        <v>0</v>
      </c>
      <c r="E48" s="289" t="s">
        <v>189</v>
      </c>
      <c r="F48" s="259"/>
      <c r="G48" s="259"/>
      <c r="H48" s="259"/>
      <c r="I48" s="259"/>
      <c r="J48" s="259"/>
      <c r="K48" s="259"/>
      <c r="L48" s="260"/>
      <c r="M48" s="181" t="s">
        <v>193</v>
      </c>
      <c r="N48" s="33"/>
      <c r="O48" s="33"/>
      <c r="P48" s="33"/>
    </row>
    <row r="49" spans="2:16" s="3" customFormat="1" ht="17.100000000000001" customHeight="1">
      <c r="B49" s="216" t="s">
        <v>94</v>
      </c>
      <c r="C49" s="217"/>
      <c r="D49" s="45">
        <f>SUM(D32:D48)</f>
        <v>0</v>
      </c>
      <c r="E49" s="237"/>
      <c r="F49" s="237"/>
      <c r="G49" s="237"/>
      <c r="H49" s="237"/>
      <c r="I49" s="237"/>
      <c r="J49" s="237"/>
      <c r="K49" s="239"/>
      <c r="L49" s="239"/>
      <c r="N49" s="33"/>
      <c r="O49" s="33"/>
      <c r="P49" s="33"/>
    </row>
    <row r="50" spans="2:16" s="3" customFormat="1" ht="15" customHeight="1">
      <c r="B50" s="4"/>
      <c r="C50" s="4"/>
      <c r="D50" s="34"/>
      <c r="E50" s="35"/>
      <c r="F50" s="10"/>
      <c r="G50" s="10"/>
      <c r="H50" s="10"/>
      <c r="I50" s="10"/>
      <c r="J50" s="10"/>
      <c r="N50" s="33"/>
      <c r="O50" s="33"/>
      <c r="P50" s="33"/>
    </row>
    <row r="51" spans="2:16" s="3" customFormat="1" ht="15" customHeight="1">
      <c r="B51" s="36" t="s">
        <v>123</v>
      </c>
      <c r="C51" s="4"/>
      <c r="D51" s="34"/>
      <c r="E51" s="35"/>
      <c r="F51" s="10"/>
      <c r="G51" s="10"/>
      <c r="H51" s="10"/>
      <c r="I51" s="10"/>
      <c r="J51" s="10"/>
      <c r="N51" s="33"/>
      <c r="O51" s="33"/>
      <c r="P51" s="33"/>
    </row>
    <row r="52" spans="2:16" ht="17.100000000000001" customHeight="1">
      <c r="B52" s="256" t="s">
        <v>77</v>
      </c>
      <c r="C52" s="256"/>
      <c r="D52" s="175" t="s">
        <v>78</v>
      </c>
      <c r="E52" s="261"/>
      <c r="F52" s="261"/>
      <c r="G52" s="261"/>
      <c r="H52" s="261"/>
      <c r="I52" s="261"/>
      <c r="J52" s="261"/>
      <c r="K52" s="261"/>
      <c r="L52" s="262"/>
      <c r="M52" s="191"/>
      <c r="N52" s="33"/>
      <c r="O52" s="33"/>
      <c r="P52" s="33"/>
    </row>
    <row r="53" spans="2:16" ht="17.100000000000001" customHeight="1">
      <c r="B53" s="203" t="s">
        <v>158</v>
      </c>
      <c r="C53" s="204"/>
      <c r="D53" s="49">
        <f>'別紙（1）24週まで'!E36+'別紙（2）25週から104週'!E34+'別紙（3）105週以上'!E34+'別紙（4）抗がん剤第1相、第2相'!E36+'別紙（5）抗がん剤第3相、第4相 、拡大'!E36</f>
        <v>0</v>
      </c>
      <c r="E53" s="168" t="s">
        <v>116</v>
      </c>
      <c r="F53" s="169"/>
      <c r="G53" s="169"/>
      <c r="H53" s="169"/>
      <c r="I53" s="169"/>
      <c r="J53" s="169"/>
      <c r="K53" s="169"/>
      <c r="L53" s="170"/>
      <c r="M53" s="181"/>
      <c r="N53" s="33"/>
      <c r="O53" s="33"/>
      <c r="P53" s="33"/>
    </row>
    <row r="54" spans="2:16" ht="17.100000000000001" customHeight="1">
      <c r="B54" s="203" t="s">
        <v>159</v>
      </c>
      <c r="C54" s="204"/>
      <c r="D54" s="49">
        <f>'別紙（1）24週まで'!E40+'別紙（2）25週から104週'!E39+'別紙（3）105週以上'!E39+'別紙（4）抗がん剤第1相、第2相'!E40+'別紙（5）抗がん剤第3相、第4相 、拡大'!E40</f>
        <v>0</v>
      </c>
      <c r="E54" s="168" t="s">
        <v>116</v>
      </c>
      <c r="F54" s="169"/>
      <c r="G54" s="169"/>
      <c r="H54" s="169"/>
      <c r="I54" s="169"/>
      <c r="J54" s="169"/>
      <c r="K54" s="169"/>
      <c r="L54" s="170"/>
      <c r="M54" s="181" t="s">
        <v>151</v>
      </c>
      <c r="N54" s="33"/>
      <c r="O54" s="33"/>
      <c r="P54" s="33"/>
    </row>
    <row r="55" spans="2:16" ht="17.100000000000001" customHeight="1">
      <c r="B55" s="203" t="s">
        <v>160</v>
      </c>
      <c r="C55" s="204"/>
      <c r="D55" s="49">
        <f>'別紙（1）24週まで'!E44+'別紙（2）25週から104週'!E44+'別紙（3）105週以上'!E44+'別紙（4）抗がん剤第1相、第2相'!E44+'別紙（5）抗がん剤第3相、第4相 、拡大'!E44</f>
        <v>0</v>
      </c>
      <c r="E55" s="168" t="s">
        <v>116</v>
      </c>
      <c r="F55" s="169"/>
      <c r="G55" s="169"/>
      <c r="H55" s="169"/>
      <c r="I55" s="169"/>
      <c r="J55" s="169"/>
      <c r="K55" s="169"/>
      <c r="L55" s="170"/>
      <c r="M55" s="181" t="s">
        <v>151</v>
      </c>
      <c r="N55" s="33"/>
      <c r="O55" s="33"/>
      <c r="P55" s="33"/>
    </row>
    <row r="56" spans="2:16" ht="17.100000000000001" customHeight="1">
      <c r="B56" s="203" t="s">
        <v>161</v>
      </c>
      <c r="C56" s="204"/>
      <c r="D56" s="49">
        <f>'別紙（1）24週まで'!E45+'別紙（2）25週から104週'!E45+'別紙（3）105週以上'!E45+'別紙（4）抗がん剤第1相、第2相'!E45+'別紙（5）抗がん剤第3相、第4相 、拡大'!E45</f>
        <v>0</v>
      </c>
      <c r="E56" s="168" t="s">
        <v>116</v>
      </c>
      <c r="F56" s="169"/>
      <c r="G56" s="169"/>
      <c r="H56" s="169"/>
      <c r="I56" s="169"/>
      <c r="J56" s="169"/>
      <c r="K56" s="169"/>
      <c r="L56" s="170"/>
      <c r="M56" s="181" t="s">
        <v>193</v>
      </c>
      <c r="N56" s="33"/>
      <c r="O56" s="33"/>
      <c r="P56" s="33"/>
    </row>
    <row r="57" spans="2:16" s="3" customFormat="1" ht="16.5" customHeight="1">
      <c r="B57" s="256" t="s">
        <v>95</v>
      </c>
      <c r="C57" s="256"/>
      <c r="D57" s="45">
        <f>SUM(D53:D56)</f>
        <v>0</v>
      </c>
      <c r="E57" s="259"/>
      <c r="F57" s="259"/>
      <c r="G57" s="259"/>
      <c r="H57" s="259"/>
      <c r="I57" s="259"/>
      <c r="J57" s="259"/>
      <c r="K57" s="259"/>
      <c r="L57" s="260"/>
      <c r="N57" s="33"/>
      <c r="O57" s="33"/>
      <c r="P57" s="33"/>
    </row>
    <row r="58" spans="2:16" s="3" customFormat="1" ht="15" customHeight="1">
      <c r="B58" s="215"/>
      <c r="C58" s="215"/>
      <c r="D58" s="215"/>
      <c r="E58" s="215"/>
      <c r="F58" s="215"/>
      <c r="G58" s="215"/>
      <c r="H58" s="215"/>
      <c r="I58" s="215"/>
      <c r="J58" s="215"/>
    </row>
    <row r="59" spans="2:16" ht="15" customHeight="1">
      <c r="B59" s="257" t="s">
        <v>97</v>
      </c>
      <c r="C59" s="257"/>
      <c r="D59" s="258"/>
      <c r="E59" s="215"/>
      <c r="F59" s="215"/>
      <c r="G59" s="215"/>
      <c r="H59" s="215"/>
      <c r="I59" s="215"/>
      <c r="J59" s="215"/>
      <c r="M59" s="191"/>
    </row>
    <row r="60" spans="2:16" ht="17.100000000000001" customHeight="1">
      <c r="B60" s="254" t="s">
        <v>77</v>
      </c>
      <c r="C60" s="255"/>
      <c r="D60" s="37" t="s">
        <v>78</v>
      </c>
      <c r="E60" s="213" t="s">
        <v>79</v>
      </c>
      <c r="F60" s="213"/>
      <c r="G60" s="213"/>
      <c r="H60" s="213"/>
      <c r="I60" s="213"/>
      <c r="J60" s="213"/>
      <c r="K60" s="239"/>
      <c r="L60" s="239"/>
      <c r="M60" s="191"/>
    </row>
    <row r="61" spans="2:16" ht="15" customHeight="1">
      <c r="B61" s="243" t="s">
        <v>90</v>
      </c>
      <c r="C61" s="244"/>
      <c r="D61" s="240">
        <f>(F61*50000*1.1)+(I62*20000*1.1)+(I63*20000*1.1)</f>
        <v>0</v>
      </c>
      <c r="E61" s="176" t="s">
        <v>58</v>
      </c>
      <c r="F61" s="19"/>
      <c r="G61" s="253" t="s">
        <v>162</v>
      </c>
      <c r="H61" s="253"/>
      <c r="I61" s="253"/>
      <c r="J61" s="253"/>
      <c r="K61" s="239"/>
      <c r="L61" s="239"/>
      <c r="M61" s="181" t="str">
        <f>IF($M$53="","※M51に講座名入力",$M$53)</f>
        <v>※M51に講座名入力</v>
      </c>
    </row>
    <row r="62" spans="2:16" ht="15.75" customHeight="1">
      <c r="B62" s="245"/>
      <c r="C62" s="246"/>
      <c r="D62" s="241"/>
      <c r="E62" s="230" t="s">
        <v>117</v>
      </c>
      <c r="F62" s="231"/>
      <c r="G62" s="231"/>
      <c r="H62" s="232"/>
      <c r="I62" s="23"/>
      <c r="J62" s="249" t="s">
        <v>163</v>
      </c>
      <c r="K62" s="249"/>
      <c r="L62" s="249"/>
      <c r="M62" s="188"/>
      <c r="N62" s="31"/>
    </row>
    <row r="63" spans="2:16" ht="15.75" customHeight="1" thickBot="1">
      <c r="B63" s="247"/>
      <c r="C63" s="248"/>
      <c r="D63" s="242"/>
      <c r="E63" s="233" t="s">
        <v>145</v>
      </c>
      <c r="F63" s="234"/>
      <c r="G63" s="234"/>
      <c r="H63" s="235"/>
      <c r="I63" s="38"/>
      <c r="J63" s="250" t="s">
        <v>164</v>
      </c>
      <c r="K63" s="250"/>
      <c r="L63" s="250"/>
      <c r="M63" s="188"/>
      <c r="N63" s="31"/>
    </row>
    <row r="64" spans="2:16" ht="15.75" customHeight="1">
      <c r="B64" s="203" t="s">
        <v>147</v>
      </c>
      <c r="C64" s="204"/>
      <c r="D64" s="151">
        <f>F64*25000*1.1</f>
        <v>0</v>
      </c>
      <c r="E64" s="176" t="s">
        <v>58</v>
      </c>
      <c r="F64" s="19"/>
      <c r="G64" s="253" t="s">
        <v>199</v>
      </c>
      <c r="H64" s="253"/>
      <c r="I64" s="253"/>
      <c r="J64" s="253"/>
      <c r="K64" s="239"/>
      <c r="L64" s="239"/>
      <c r="M64" s="181" t="s">
        <v>151</v>
      </c>
      <c r="N64" s="31"/>
    </row>
    <row r="65" spans="2:14" ht="15.75" customHeight="1">
      <c r="B65" s="203" t="s">
        <v>148</v>
      </c>
      <c r="C65" s="204"/>
      <c r="D65" s="50">
        <f>F65*7000</f>
        <v>0</v>
      </c>
      <c r="E65" s="152" t="s">
        <v>88</v>
      </c>
      <c r="F65" s="25"/>
      <c r="G65" s="238" t="s">
        <v>91</v>
      </c>
      <c r="H65" s="238"/>
      <c r="I65" s="238"/>
      <c r="J65" s="238"/>
      <c r="K65" s="238"/>
      <c r="L65" s="238"/>
      <c r="M65" s="181" t="s">
        <v>194</v>
      </c>
      <c r="N65" s="39"/>
    </row>
    <row r="66" spans="2:14" ht="15" customHeight="1">
      <c r="B66" s="203" t="s">
        <v>149</v>
      </c>
      <c r="C66" s="204"/>
      <c r="D66" s="51">
        <f>ROUNDDOWN(SUM(D61:D64)*0.2,0)</f>
        <v>0</v>
      </c>
      <c r="E66" s="237" t="s">
        <v>165</v>
      </c>
      <c r="F66" s="237"/>
      <c r="G66" s="237"/>
      <c r="H66" s="237"/>
      <c r="I66" s="237"/>
      <c r="J66" s="237"/>
      <c r="K66" s="237"/>
      <c r="L66" s="237"/>
      <c r="M66" s="181" t="s">
        <v>151</v>
      </c>
    </row>
    <row r="67" spans="2:14" ht="15" customHeight="1">
      <c r="B67" s="203" t="s">
        <v>150</v>
      </c>
      <c r="C67" s="204"/>
      <c r="D67" s="51">
        <f>ROUNDDOWN((SUM(D61:D64)+D66)*0.3,0)</f>
        <v>0</v>
      </c>
      <c r="E67" s="237" t="s">
        <v>166</v>
      </c>
      <c r="F67" s="237"/>
      <c r="G67" s="237"/>
      <c r="H67" s="237"/>
      <c r="I67" s="237"/>
      <c r="J67" s="237"/>
      <c r="K67" s="237"/>
      <c r="L67" s="237"/>
      <c r="M67" s="181" t="s">
        <v>193</v>
      </c>
    </row>
    <row r="68" spans="2:14" ht="15" customHeight="1">
      <c r="B68" s="216" t="s">
        <v>99</v>
      </c>
      <c r="C68" s="217"/>
      <c r="D68" s="50">
        <f>SUM(D61:D67)</f>
        <v>0</v>
      </c>
      <c r="E68" s="236"/>
      <c r="F68" s="236"/>
      <c r="G68" s="236"/>
      <c r="H68" s="236"/>
      <c r="I68" s="236"/>
      <c r="J68" s="236"/>
      <c r="K68" s="236"/>
      <c r="L68" s="236"/>
      <c r="M68" s="173"/>
    </row>
    <row r="69" spans="2:14" ht="17.100000000000001" customHeight="1" thickBot="1">
      <c r="E69" s="40"/>
      <c r="F69" s="40"/>
      <c r="G69" s="40"/>
      <c r="H69" s="40"/>
      <c r="I69" s="40"/>
      <c r="J69" s="40"/>
      <c r="K69" s="41"/>
      <c r="L69" s="41"/>
    </row>
    <row r="70" spans="2:14" ht="22.5" customHeight="1" thickTop="1" thickBot="1">
      <c r="B70" s="251" t="s">
        <v>98</v>
      </c>
      <c r="C70" s="252"/>
      <c r="D70" s="52">
        <f>D17+D28+D49+D57+D68</f>
        <v>0</v>
      </c>
      <c r="E70" s="228"/>
      <c r="F70" s="228"/>
      <c r="G70" s="228"/>
      <c r="H70" s="228"/>
      <c r="I70" s="228"/>
      <c r="J70" s="228"/>
      <c r="K70" s="228"/>
      <c r="L70" s="229"/>
    </row>
    <row r="71" spans="2:14" ht="24.95" customHeight="1" thickTop="1">
      <c r="E71" s="42"/>
      <c r="F71" s="43"/>
      <c r="G71" s="42"/>
      <c r="H71" s="42"/>
      <c r="I71" s="42"/>
      <c r="J71" s="42"/>
    </row>
    <row r="72" spans="2:14">
      <c r="B72" s="44" t="s">
        <v>92</v>
      </c>
      <c r="E72" s="7"/>
      <c r="F72" s="7"/>
      <c r="G72" s="7"/>
      <c r="H72" s="7"/>
      <c r="I72" s="7"/>
      <c r="J72" s="7"/>
    </row>
    <row r="73" spans="2:14">
      <c r="B73" s="31" t="str">
        <f>IF($M$53="","※M51に講座名入力",$M$53)</f>
        <v>※M51に講座名入力</v>
      </c>
      <c r="C73" s="193" t="s">
        <v>200</v>
      </c>
      <c r="D73" s="174">
        <f>SUMIF($M$11:$M$68,B73,$D$11:$D$68)</f>
        <v>0</v>
      </c>
      <c r="E73" s="7"/>
      <c r="F73" s="7"/>
      <c r="G73" s="7"/>
      <c r="H73" s="7"/>
      <c r="I73" s="163"/>
      <c r="J73" s="163"/>
      <c r="K73" s="44"/>
      <c r="L73" s="164"/>
    </row>
    <row r="74" spans="2:14">
      <c r="B74" s="44" t="s">
        <v>141</v>
      </c>
      <c r="C74" s="193"/>
      <c r="D74" s="174">
        <f t="shared" ref="D74:D81" si="0">SUMIF($M$11:$M$68,B74,$D$11:$D$68)</f>
        <v>0</v>
      </c>
      <c r="E74" s="7"/>
      <c r="F74" s="7"/>
      <c r="G74" s="7"/>
      <c r="H74" s="7"/>
      <c r="I74" s="163"/>
      <c r="J74" s="163"/>
      <c r="K74" s="44"/>
      <c r="L74" s="164"/>
    </row>
    <row r="75" spans="2:14">
      <c r="B75" s="44" t="s">
        <v>168</v>
      </c>
      <c r="C75" s="193"/>
      <c r="D75" s="174">
        <f t="shared" si="0"/>
        <v>0</v>
      </c>
      <c r="E75" s="7"/>
      <c r="F75" s="7"/>
      <c r="G75" s="7"/>
      <c r="H75" s="7"/>
      <c r="I75" s="165"/>
      <c r="J75" s="165"/>
      <c r="K75" s="166"/>
      <c r="L75" s="167"/>
    </row>
    <row r="76" spans="2:14">
      <c r="B76" s="44" t="s">
        <v>202</v>
      </c>
      <c r="C76" s="193"/>
      <c r="D76" s="174">
        <f t="shared" si="0"/>
        <v>0</v>
      </c>
      <c r="E76" s="7"/>
      <c r="F76" s="7"/>
      <c r="G76" s="7"/>
      <c r="H76" s="7"/>
      <c r="I76" s="7"/>
      <c r="J76" s="7"/>
    </row>
    <row r="77" spans="2:14">
      <c r="B77" s="44" t="s">
        <v>152</v>
      </c>
      <c r="C77" s="193"/>
      <c r="D77" s="174">
        <f t="shared" si="0"/>
        <v>0</v>
      </c>
      <c r="E77" s="7"/>
      <c r="F77" s="7"/>
      <c r="G77" s="7"/>
      <c r="H77" s="7"/>
      <c r="I77" s="7"/>
      <c r="J77" s="7"/>
    </row>
    <row r="78" spans="2:14">
      <c r="B78" s="192" t="str">
        <f>IF($M$33="","※M31に講座名入力",$M$33)</f>
        <v>※M31に講座名入力</v>
      </c>
      <c r="C78" s="193" t="s">
        <v>201</v>
      </c>
      <c r="D78" s="174">
        <f>SUMIF($M$11:$M$68,B78,$D$11:$D$68)</f>
        <v>0</v>
      </c>
      <c r="E78" s="7"/>
      <c r="F78" s="7"/>
      <c r="G78" s="7"/>
      <c r="H78" s="7"/>
      <c r="I78" s="7"/>
      <c r="J78" s="7"/>
    </row>
    <row r="79" spans="2:14">
      <c r="B79" s="192" t="str">
        <f>IF($M$35="","※M33に講座名入力",$M$35)</f>
        <v>※M33に講座名入力</v>
      </c>
      <c r="C79" s="193" t="s">
        <v>195</v>
      </c>
      <c r="D79" s="174">
        <f>SUMIF($M$11:$M$68,B79,$D$11:$D$68)</f>
        <v>0</v>
      </c>
      <c r="E79" s="7"/>
      <c r="F79" s="7"/>
      <c r="G79" s="7"/>
      <c r="H79" s="7"/>
      <c r="I79" s="7"/>
      <c r="J79" s="7"/>
    </row>
    <row r="80" spans="2:14">
      <c r="B80" s="44" t="s">
        <v>146</v>
      </c>
      <c r="C80" s="193"/>
      <c r="D80" s="174">
        <f t="shared" si="0"/>
        <v>0</v>
      </c>
      <c r="E80" s="7"/>
      <c r="F80" s="7"/>
      <c r="G80" s="7"/>
      <c r="H80" s="7"/>
      <c r="I80" s="7"/>
      <c r="J80" s="7"/>
    </row>
    <row r="81" spans="2:10">
      <c r="B81" s="44" t="s">
        <v>85</v>
      </c>
      <c r="D81" s="174">
        <f t="shared" si="0"/>
        <v>0</v>
      </c>
      <c r="E81" s="7"/>
      <c r="F81" s="7"/>
      <c r="G81" s="7"/>
      <c r="H81" s="7"/>
      <c r="I81" s="7"/>
      <c r="J81" s="7"/>
    </row>
    <row r="82" spans="2:10">
      <c r="B82" s="44" t="s">
        <v>93</v>
      </c>
      <c r="D82" s="53">
        <f>SUM(D73:D81)</f>
        <v>0</v>
      </c>
      <c r="E82" s="7"/>
      <c r="F82" s="7"/>
      <c r="G82" s="7"/>
      <c r="H82" s="7"/>
      <c r="I82" s="7"/>
      <c r="J82" s="7"/>
    </row>
  </sheetData>
  <mergeCells count="116">
    <mergeCell ref="B1:L1"/>
    <mergeCell ref="G33:L33"/>
    <mergeCell ref="E31:L31"/>
    <mergeCell ref="E28:L28"/>
    <mergeCell ref="E27:L27"/>
    <mergeCell ref="E26:L26"/>
    <mergeCell ref="B15:C15"/>
    <mergeCell ref="B16:C16"/>
    <mergeCell ref="B17:C17"/>
    <mergeCell ref="B12:C12"/>
    <mergeCell ref="B21:C21"/>
    <mergeCell ref="B31:C31"/>
    <mergeCell ref="B26:C26"/>
    <mergeCell ref="B27:C27"/>
    <mergeCell ref="B28:C28"/>
    <mergeCell ref="B13:C13"/>
    <mergeCell ref="E16:L16"/>
    <mergeCell ref="E15:L15"/>
    <mergeCell ref="E12:L12"/>
    <mergeCell ref="E11:L11"/>
    <mergeCell ref="C3:L3"/>
    <mergeCell ref="C4:L4"/>
    <mergeCell ref="C5:L5"/>
    <mergeCell ref="C6:L6"/>
    <mergeCell ref="B48:C48"/>
    <mergeCell ref="E48:L48"/>
    <mergeCell ref="G46:L46"/>
    <mergeCell ref="J42:L42"/>
    <mergeCell ref="B40:C42"/>
    <mergeCell ref="J40:L40"/>
    <mergeCell ref="B43:C43"/>
    <mergeCell ref="E43:L43"/>
    <mergeCell ref="B44:C44"/>
    <mergeCell ref="E44:L44"/>
    <mergeCell ref="B45:C45"/>
    <mergeCell ref="E45:L45"/>
    <mergeCell ref="B47:C47"/>
    <mergeCell ref="E47:L47"/>
    <mergeCell ref="B46:C46"/>
    <mergeCell ref="J41:L41"/>
    <mergeCell ref="E40:G40"/>
    <mergeCell ref="B10:C10"/>
    <mergeCell ref="B11:C11"/>
    <mergeCell ref="E10:L10"/>
    <mergeCell ref="E13:L13"/>
    <mergeCell ref="E23:L23"/>
    <mergeCell ref="J38:L38"/>
    <mergeCell ref="G39:L39"/>
    <mergeCell ref="E7:G7"/>
    <mergeCell ref="B22:C22"/>
    <mergeCell ref="B23:C23"/>
    <mergeCell ref="B39:C39"/>
    <mergeCell ref="E38:G38"/>
    <mergeCell ref="E36:G36"/>
    <mergeCell ref="E22:L22"/>
    <mergeCell ref="J35:L35"/>
    <mergeCell ref="J36:L36"/>
    <mergeCell ref="D36:D38"/>
    <mergeCell ref="B34:C34"/>
    <mergeCell ref="B24:C24"/>
    <mergeCell ref="E24:L24"/>
    <mergeCell ref="B33:C33"/>
    <mergeCell ref="B30:C30"/>
    <mergeCell ref="J37:L37"/>
    <mergeCell ref="E21:L21"/>
    <mergeCell ref="B49:C49"/>
    <mergeCell ref="B60:C60"/>
    <mergeCell ref="B57:C57"/>
    <mergeCell ref="B58:J58"/>
    <mergeCell ref="B59:C59"/>
    <mergeCell ref="D59:J59"/>
    <mergeCell ref="G61:L61"/>
    <mergeCell ref="B52:C52"/>
    <mergeCell ref="E57:L57"/>
    <mergeCell ref="B56:C56"/>
    <mergeCell ref="B55:C55"/>
    <mergeCell ref="B54:C54"/>
    <mergeCell ref="E52:L52"/>
    <mergeCell ref="E49:L49"/>
    <mergeCell ref="B53:C53"/>
    <mergeCell ref="E70:L70"/>
    <mergeCell ref="E62:H62"/>
    <mergeCell ref="E63:H63"/>
    <mergeCell ref="E68:L68"/>
    <mergeCell ref="E67:L67"/>
    <mergeCell ref="E66:L66"/>
    <mergeCell ref="G65:L65"/>
    <mergeCell ref="E60:L60"/>
    <mergeCell ref="B68:C68"/>
    <mergeCell ref="D61:D63"/>
    <mergeCell ref="B61:C63"/>
    <mergeCell ref="J62:L62"/>
    <mergeCell ref="J63:L63"/>
    <mergeCell ref="B70:C70"/>
    <mergeCell ref="B65:C65"/>
    <mergeCell ref="B66:C66"/>
    <mergeCell ref="B67:C67"/>
    <mergeCell ref="B64:C64"/>
    <mergeCell ref="G64:L64"/>
    <mergeCell ref="B25:C25"/>
    <mergeCell ref="E25:L25"/>
    <mergeCell ref="E41:G41"/>
    <mergeCell ref="E42:G42"/>
    <mergeCell ref="B32:C32"/>
    <mergeCell ref="G32:L32"/>
    <mergeCell ref="F35:H35"/>
    <mergeCell ref="D40:D42"/>
    <mergeCell ref="E20:L20"/>
    <mergeCell ref="B18:J18"/>
    <mergeCell ref="B20:C20"/>
    <mergeCell ref="B36:C38"/>
    <mergeCell ref="E37:G37"/>
    <mergeCell ref="J34:L34"/>
    <mergeCell ref="E30:J30"/>
    <mergeCell ref="E14:L14"/>
    <mergeCell ref="B14:C14"/>
  </mergeCells>
  <phoneticPr fontId="1"/>
  <conditionalFormatting sqref="B15:D16 B14 D14">
    <cfRule type="expression" dxfId="12" priority="3">
      <formula>$C$7&lt;&gt;"新規契約"</formula>
    </cfRule>
  </conditionalFormatting>
  <conditionalFormatting sqref="B11:L13">
    <cfRule type="expression" dxfId="11" priority="9">
      <formula>$C$7&lt;&gt;"新規契約"</formula>
    </cfRule>
  </conditionalFormatting>
  <conditionalFormatting sqref="B21:L27">
    <cfRule type="expression" dxfId="10" priority="4">
      <formula>OR($C$7="第2四半期精算",$C$7="第3四半期精算",$C$7="第4四半期精算")</formula>
    </cfRule>
  </conditionalFormatting>
  <conditionalFormatting sqref="B33:L34">
    <cfRule type="expression" dxfId="9" priority="7">
      <formula>OR($C$7="第1四半期精算",$C$7="第2四半期精算",$C$7="第3四半期精算")</formula>
    </cfRule>
  </conditionalFormatting>
  <conditionalFormatting sqref="D82">
    <cfRule type="expression" dxfId="8" priority="5">
      <formula>$D$70&lt;&gt;$D$82</formula>
    </cfRule>
  </conditionalFormatting>
  <conditionalFormatting sqref="E15:L16">
    <cfRule type="expression" dxfId="7" priority="2">
      <formula>OR($C$7="第2四半期精算",$C$7="第3四半期精算",$C$7="第4四半期精算")</formula>
    </cfRule>
  </conditionalFormatting>
  <conditionalFormatting sqref="M32:M35 M53">
    <cfRule type="containsBlanks" dxfId="6" priority="6">
      <formula>LEN(TRIM(M32))=0</formula>
    </cfRule>
  </conditionalFormatting>
  <conditionalFormatting sqref="E14:L14">
    <cfRule type="expression" dxfId="0" priority="1">
      <formula>$C$7&lt;&gt;"新規契約"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4" xr:uid="{00000000-0002-0000-0000-000001000000}">
      <formula1>"検査部,臨床研究センター"</formula1>
    </dataValidation>
    <dataValidation type="list" allowBlank="1" showInputMessage="1" showErrorMessage="1" sqref="M32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68" orientation="portrait" horizontalDpi="300" verticalDpi="300" r:id="rId1"/>
  <headerFooter alignWithMargins="0">
    <oddHeader>&amp;L【浜医様式Mk2-2smo(10_1）】</oddHeader>
  </headerFooter>
  <rowBreaks count="1" manualBreakCount="1">
    <brk id="7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view="pageBreakPreview" zoomScaleNormal="100" zoomScaleSheetLayoutView="100" workbookViewId="0">
      <selection activeCell="K4" sqref="K4"/>
    </sheetView>
  </sheetViews>
  <sheetFormatPr defaultRowHeight="18.75"/>
  <cols>
    <col min="1" max="2" width="9" style="55"/>
    <col min="3" max="14" width="7" style="55" customWidth="1"/>
    <col min="15" max="17" width="6.625" style="55" customWidth="1"/>
    <col min="18" max="16384" width="9" style="55"/>
  </cols>
  <sheetData>
    <row r="1" spans="1:14" ht="24">
      <c r="A1" s="54" t="s">
        <v>128</v>
      </c>
    </row>
    <row r="3" spans="1:14" ht="23.25" customHeight="1">
      <c r="C3" s="355" t="s">
        <v>0</v>
      </c>
      <c r="D3" s="355"/>
      <c r="E3" s="355"/>
    </row>
    <row r="4" spans="1:14" ht="13.5" customHeight="1">
      <c r="F4" s="377" t="s">
        <v>1</v>
      </c>
      <c r="G4" s="378"/>
      <c r="H4" s="379"/>
    </row>
    <row r="5" spans="1:14" ht="13.5" customHeight="1">
      <c r="F5" s="380"/>
      <c r="G5" s="381"/>
      <c r="H5" s="382"/>
    </row>
    <row r="6" spans="1:14" ht="13.5" customHeight="1">
      <c r="F6" s="380"/>
      <c r="G6" s="381"/>
      <c r="H6" s="382"/>
    </row>
    <row r="7" spans="1:14" ht="13.5" customHeight="1">
      <c r="F7" s="380"/>
      <c r="G7" s="381"/>
      <c r="H7" s="382"/>
    </row>
    <row r="8" spans="1:14" ht="13.5" customHeight="1">
      <c r="F8" s="380"/>
      <c r="G8" s="381"/>
      <c r="H8" s="382"/>
    </row>
    <row r="9" spans="1:14" ht="13.5" customHeight="1">
      <c r="F9" s="380"/>
      <c r="G9" s="381"/>
      <c r="H9" s="382"/>
    </row>
    <row r="10" spans="1:14" ht="13.5" customHeight="1">
      <c r="F10" s="380"/>
      <c r="G10" s="381"/>
      <c r="H10" s="382"/>
    </row>
    <row r="11" spans="1:14" ht="13.5" customHeight="1">
      <c r="F11" s="380"/>
      <c r="G11" s="381"/>
      <c r="H11" s="382"/>
    </row>
    <row r="12" spans="1:14" ht="13.5" customHeight="1">
      <c r="F12" s="380"/>
      <c r="G12" s="381"/>
      <c r="H12" s="382"/>
    </row>
    <row r="13" spans="1:14" ht="13.5" customHeight="1">
      <c r="F13" s="380"/>
      <c r="G13" s="381"/>
      <c r="H13" s="382"/>
    </row>
    <row r="14" spans="1:14" ht="13.5" customHeight="1">
      <c r="F14" s="380"/>
      <c r="G14" s="381"/>
      <c r="H14" s="382"/>
    </row>
    <row r="15" spans="1:14" ht="13.5" customHeight="1">
      <c r="B15" s="56"/>
      <c r="C15" s="56"/>
      <c r="D15" s="56"/>
      <c r="F15" s="380"/>
      <c r="G15" s="381"/>
      <c r="H15" s="382"/>
      <c r="I15" s="371" t="s">
        <v>2</v>
      </c>
      <c r="J15" s="371"/>
      <c r="K15" s="372"/>
      <c r="L15" s="362" t="s">
        <v>3</v>
      </c>
      <c r="M15" s="363"/>
      <c r="N15" s="364"/>
    </row>
    <row r="16" spans="1:14" ht="13.5" customHeight="1">
      <c r="B16" s="56"/>
      <c r="C16" s="56"/>
      <c r="D16" s="56"/>
      <c r="F16" s="380"/>
      <c r="G16" s="381"/>
      <c r="H16" s="382"/>
      <c r="I16" s="373"/>
      <c r="J16" s="373"/>
      <c r="K16" s="374"/>
      <c r="L16" s="365"/>
      <c r="M16" s="366"/>
      <c r="N16" s="367"/>
    </row>
    <row r="17" spans="1:18" ht="13.5" customHeight="1">
      <c r="B17" s="359" t="s">
        <v>4</v>
      </c>
      <c r="C17" s="57"/>
      <c r="D17" s="57"/>
      <c r="F17" s="383"/>
      <c r="G17" s="384"/>
      <c r="H17" s="385"/>
      <c r="I17" s="375"/>
      <c r="J17" s="375"/>
      <c r="K17" s="376"/>
      <c r="L17" s="368"/>
      <c r="M17" s="369"/>
      <c r="N17" s="370"/>
      <c r="O17" s="359" t="s">
        <v>5</v>
      </c>
    </row>
    <row r="18" spans="1:18" ht="22.5" customHeight="1">
      <c r="B18" s="359"/>
      <c r="C18" s="57"/>
      <c r="D18" s="57"/>
      <c r="F18" s="356" t="s">
        <v>52</v>
      </c>
      <c r="G18" s="357"/>
      <c r="H18" s="357"/>
      <c r="I18" s="357"/>
      <c r="J18" s="357"/>
      <c r="K18" s="357"/>
      <c r="L18" s="357"/>
      <c r="M18" s="357"/>
      <c r="N18" s="358"/>
      <c r="O18" s="359"/>
    </row>
    <row r="19" spans="1:18">
      <c r="B19" s="359"/>
      <c r="C19" s="57"/>
      <c r="D19" s="57"/>
      <c r="O19" s="359"/>
    </row>
    <row r="20" spans="1:18">
      <c r="B20" s="359"/>
      <c r="C20" s="57"/>
      <c r="D20" s="57"/>
      <c r="O20" s="359"/>
    </row>
    <row r="21" spans="1:18" ht="19.5" thickBot="1">
      <c r="F21" s="58" t="s">
        <v>6</v>
      </c>
      <c r="G21" s="59"/>
      <c r="H21" s="59"/>
      <c r="I21" s="58" t="s">
        <v>7</v>
      </c>
      <c r="L21" s="58" t="s">
        <v>8</v>
      </c>
    </row>
    <row r="22" spans="1:18" ht="19.5" thickBot="1">
      <c r="A22" s="60"/>
      <c r="B22" s="60"/>
      <c r="C22" s="60"/>
      <c r="D22" s="60"/>
      <c r="E22" s="61" t="s">
        <v>14</v>
      </c>
      <c r="F22" s="60"/>
      <c r="G22" s="61"/>
      <c r="H22" s="62">
        <f>ROUNDDOWN(N22*1/3,0)</f>
        <v>0</v>
      </c>
      <c r="I22" s="63"/>
      <c r="J22" s="64"/>
      <c r="K22" s="62">
        <f>H22*2</f>
        <v>0</v>
      </c>
      <c r="L22" s="63"/>
      <c r="M22" s="64"/>
      <c r="N22" s="65"/>
      <c r="O22" s="60"/>
      <c r="P22" s="60"/>
      <c r="Q22" s="60"/>
    </row>
    <row r="23" spans="1:18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8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4"/>
      <c r="O24" s="60"/>
      <c r="P24" s="60"/>
      <c r="Q24" s="60"/>
    </row>
    <row r="25" spans="1:18">
      <c r="A25" s="60"/>
      <c r="B25" s="64" t="s">
        <v>53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8" ht="13.5" customHeight="1">
      <c r="A26" s="60"/>
      <c r="B26" s="60"/>
      <c r="C26" s="386" t="s">
        <v>21</v>
      </c>
      <c r="D26" s="387"/>
      <c r="E26" s="388"/>
      <c r="F26" s="386" t="s">
        <v>22</v>
      </c>
      <c r="G26" s="387"/>
      <c r="H26" s="388"/>
      <c r="I26" s="386" t="s">
        <v>23</v>
      </c>
      <c r="J26" s="387"/>
      <c r="K26" s="388"/>
      <c r="L26" s="386" t="s">
        <v>24</v>
      </c>
      <c r="M26" s="387"/>
      <c r="N26" s="388"/>
      <c r="O26" s="386" t="s">
        <v>29</v>
      </c>
      <c r="P26" s="387"/>
      <c r="Q26" s="388"/>
    </row>
    <row r="27" spans="1:18" ht="13.5" customHeight="1">
      <c r="A27" s="60"/>
      <c r="B27" s="60"/>
      <c r="C27" s="389"/>
      <c r="D27" s="390"/>
      <c r="E27" s="391"/>
      <c r="F27" s="389"/>
      <c r="G27" s="390"/>
      <c r="H27" s="391"/>
      <c r="I27" s="389"/>
      <c r="J27" s="390"/>
      <c r="K27" s="391"/>
      <c r="L27" s="389"/>
      <c r="M27" s="390"/>
      <c r="N27" s="391"/>
      <c r="O27" s="389"/>
      <c r="P27" s="390"/>
      <c r="Q27" s="391"/>
      <c r="R27" s="66" t="s">
        <v>50</v>
      </c>
    </row>
    <row r="28" spans="1:18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7"/>
      <c r="P28" s="60"/>
      <c r="Q28" s="60"/>
    </row>
    <row r="29" spans="1:18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7"/>
      <c r="P29" s="60"/>
      <c r="Q29" s="60"/>
    </row>
    <row r="30" spans="1:18">
      <c r="A30" s="60"/>
      <c r="B30" s="60"/>
      <c r="C30" s="68" t="s">
        <v>25</v>
      </c>
      <c r="D30" s="69"/>
      <c r="E30" s="69"/>
      <c r="F30" s="68" t="s">
        <v>26</v>
      </c>
      <c r="G30" s="60"/>
      <c r="H30" s="60"/>
      <c r="I30" s="68" t="s">
        <v>27</v>
      </c>
      <c r="J30" s="60"/>
      <c r="K30" s="60"/>
      <c r="L30" s="68" t="s">
        <v>28</v>
      </c>
      <c r="M30" s="60"/>
      <c r="N30" s="60"/>
      <c r="O30" s="68" t="s">
        <v>30</v>
      </c>
      <c r="P30" s="60"/>
      <c r="Q30" s="60"/>
    </row>
    <row r="31" spans="1:18">
      <c r="A31" s="60"/>
      <c r="B31" s="70">
        <f>N22</f>
        <v>0</v>
      </c>
      <c r="C31" s="64"/>
      <c r="D31" s="64"/>
      <c r="E31" s="70">
        <f>B31+($N$22-$K$22)</f>
        <v>0</v>
      </c>
      <c r="F31" s="64"/>
      <c r="G31" s="64"/>
      <c r="H31" s="70">
        <f>E31+($N$22-$K$22)</f>
        <v>0</v>
      </c>
      <c r="I31" s="64"/>
      <c r="J31" s="64"/>
      <c r="K31" s="70">
        <f>H31+($N$22-$K$22)</f>
        <v>0</v>
      </c>
      <c r="L31" s="64"/>
      <c r="M31" s="64"/>
      <c r="N31" s="70">
        <f>K31+($N$22-$K$22)</f>
        <v>0</v>
      </c>
      <c r="O31" s="60"/>
      <c r="P31" s="60"/>
      <c r="Q31" s="60"/>
      <c r="R31" s="71"/>
    </row>
    <row r="32" spans="1:18">
      <c r="R32" s="72"/>
    </row>
    <row r="33" spans="2:20">
      <c r="R33" s="73"/>
    </row>
    <row r="35" spans="2:20" ht="19.5">
      <c r="B35" s="320" t="s">
        <v>66</v>
      </c>
      <c r="C35" s="320"/>
      <c r="D35" s="320"/>
      <c r="E35" s="320" t="s">
        <v>56</v>
      </c>
      <c r="F35" s="321"/>
      <c r="G35" s="321" t="s">
        <v>63</v>
      </c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3"/>
    </row>
    <row r="36" spans="2:20" ht="20.25" customHeight="1">
      <c r="B36" s="345" t="s">
        <v>67</v>
      </c>
      <c r="C36" s="345"/>
      <c r="D36" s="345"/>
      <c r="E36" s="346">
        <f>SUM(G36:H39)</f>
        <v>0</v>
      </c>
      <c r="F36" s="349"/>
      <c r="G36" s="330">
        <f>L36*$O$36*Q36*6000*0.8*1.1</f>
        <v>0</v>
      </c>
      <c r="H36" s="331"/>
      <c r="I36" s="326" t="s">
        <v>57</v>
      </c>
      <c r="J36" s="327"/>
      <c r="K36" s="142" t="s">
        <v>58</v>
      </c>
      <c r="L36" s="145"/>
      <c r="M36" s="339" t="s">
        <v>65</v>
      </c>
      <c r="N36" s="340"/>
      <c r="O36" s="336"/>
      <c r="P36" s="74" t="s">
        <v>59</v>
      </c>
      <c r="Q36" s="75">
        <v>0.7</v>
      </c>
      <c r="R36" s="306" t="s">
        <v>131</v>
      </c>
      <c r="S36" s="307"/>
    </row>
    <row r="37" spans="2:20" ht="19.5">
      <c r="B37" s="345"/>
      <c r="C37" s="345"/>
      <c r="D37" s="345"/>
      <c r="E37" s="346"/>
      <c r="F37" s="349"/>
      <c r="G37" s="332">
        <f>L37*$O$36*Q37*6000*0.8*1.1</f>
        <v>0</v>
      </c>
      <c r="H37" s="333"/>
      <c r="I37" s="328" t="s">
        <v>60</v>
      </c>
      <c r="J37" s="329"/>
      <c r="K37" s="143" t="s">
        <v>58</v>
      </c>
      <c r="L37" s="146"/>
      <c r="M37" s="341"/>
      <c r="N37" s="342"/>
      <c r="O37" s="337"/>
      <c r="P37" s="76" t="s">
        <v>59</v>
      </c>
      <c r="Q37" s="77">
        <v>0.15</v>
      </c>
      <c r="R37" s="308"/>
      <c r="S37" s="309"/>
    </row>
    <row r="38" spans="2:20" ht="19.5">
      <c r="B38" s="345"/>
      <c r="C38" s="345"/>
      <c r="D38" s="345"/>
      <c r="E38" s="346"/>
      <c r="F38" s="349"/>
      <c r="G38" s="330">
        <f>L38*$O$36*Q38*6000*0.8*1.1</f>
        <v>0</v>
      </c>
      <c r="H38" s="331"/>
      <c r="I38" s="326" t="s">
        <v>61</v>
      </c>
      <c r="J38" s="327"/>
      <c r="K38" s="143" t="s">
        <v>58</v>
      </c>
      <c r="L38" s="146"/>
      <c r="M38" s="341"/>
      <c r="N38" s="342"/>
      <c r="O38" s="337"/>
      <c r="P38" s="76" t="s">
        <v>59</v>
      </c>
      <c r="Q38" s="77">
        <v>0.15</v>
      </c>
      <c r="R38" s="308"/>
      <c r="S38" s="309"/>
    </row>
    <row r="39" spans="2:20" ht="19.5">
      <c r="B39" s="345"/>
      <c r="C39" s="345"/>
      <c r="D39" s="345"/>
      <c r="E39" s="346"/>
      <c r="F39" s="349"/>
      <c r="G39" s="334">
        <f>L39*$O$36*Q39*6000*0.8*1.1</f>
        <v>0</v>
      </c>
      <c r="H39" s="335"/>
      <c r="I39" s="324" t="s">
        <v>62</v>
      </c>
      <c r="J39" s="325"/>
      <c r="K39" s="144" t="s">
        <v>58</v>
      </c>
      <c r="L39" s="147"/>
      <c r="M39" s="343"/>
      <c r="N39" s="344"/>
      <c r="O39" s="338"/>
      <c r="P39" s="78" t="s">
        <v>59</v>
      </c>
      <c r="Q39" s="79">
        <v>0.1</v>
      </c>
      <c r="R39" s="310"/>
      <c r="S39" s="311"/>
    </row>
    <row r="40" spans="2:20" ht="19.5">
      <c r="B40" s="345" t="s">
        <v>68</v>
      </c>
      <c r="C40" s="345"/>
      <c r="D40" s="345"/>
      <c r="E40" s="346">
        <f>SUM(G40:H43)</f>
        <v>0</v>
      </c>
      <c r="F40" s="349"/>
      <c r="G40" s="347">
        <f>L40*$O$40*Q40*1500*1.1</f>
        <v>0</v>
      </c>
      <c r="H40" s="348"/>
      <c r="I40" s="360" t="s">
        <v>57</v>
      </c>
      <c r="J40" s="361"/>
      <c r="K40" s="80" t="s">
        <v>58</v>
      </c>
      <c r="L40" s="98">
        <f>L36</f>
        <v>0</v>
      </c>
      <c r="M40" s="339" t="s">
        <v>65</v>
      </c>
      <c r="N40" s="340"/>
      <c r="O40" s="312">
        <f>O36</f>
        <v>0</v>
      </c>
      <c r="P40" s="81" t="s">
        <v>59</v>
      </c>
      <c r="Q40" s="75">
        <v>0.7</v>
      </c>
      <c r="R40" s="314" t="s">
        <v>135</v>
      </c>
      <c r="S40" s="317" t="s">
        <v>64</v>
      </c>
      <c r="T40" s="82"/>
    </row>
    <row r="41" spans="2:20" ht="19.5">
      <c r="B41" s="345"/>
      <c r="C41" s="345"/>
      <c r="D41" s="345"/>
      <c r="E41" s="346"/>
      <c r="F41" s="349"/>
      <c r="G41" s="347">
        <f>L41*$O$40*Q41*1500*1.1</f>
        <v>0</v>
      </c>
      <c r="H41" s="348"/>
      <c r="I41" s="328" t="s">
        <v>60</v>
      </c>
      <c r="J41" s="329"/>
      <c r="K41" s="83" t="s">
        <v>58</v>
      </c>
      <c r="L41" s="99">
        <f t="shared" ref="L41:L43" si="0">L37</f>
        <v>0</v>
      </c>
      <c r="M41" s="341"/>
      <c r="N41" s="342"/>
      <c r="O41" s="312"/>
      <c r="P41" s="84" t="s">
        <v>59</v>
      </c>
      <c r="Q41" s="77">
        <v>0.15</v>
      </c>
      <c r="R41" s="315"/>
      <c r="S41" s="318"/>
    </row>
    <row r="42" spans="2:20" ht="19.5">
      <c r="B42" s="345"/>
      <c r="C42" s="345"/>
      <c r="D42" s="345"/>
      <c r="E42" s="346"/>
      <c r="F42" s="349"/>
      <c r="G42" s="347">
        <f>L42*$O$40*Q42*1500*1.1</f>
        <v>0</v>
      </c>
      <c r="H42" s="348"/>
      <c r="I42" s="328" t="s">
        <v>61</v>
      </c>
      <c r="J42" s="329"/>
      <c r="K42" s="83" t="s">
        <v>58</v>
      </c>
      <c r="L42" s="99">
        <f t="shared" si="0"/>
        <v>0</v>
      </c>
      <c r="M42" s="341"/>
      <c r="N42" s="342"/>
      <c r="O42" s="312"/>
      <c r="P42" s="84" t="s">
        <v>59</v>
      </c>
      <c r="Q42" s="77">
        <v>0.15</v>
      </c>
      <c r="R42" s="315"/>
      <c r="S42" s="318"/>
    </row>
    <row r="43" spans="2:20" ht="19.5">
      <c r="B43" s="345"/>
      <c r="C43" s="345"/>
      <c r="D43" s="345"/>
      <c r="E43" s="346"/>
      <c r="F43" s="349"/>
      <c r="G43" s="353">
        <f>L43*$O$40*Q43*1500*1.1</f>
        <v>0</v>
      </c>
      <c r="H43" s="354"/>
      <c r="I43" s="324" t="s">
        <v>62</v>
      </c>
      <c r="J43" s="325"/>
      <c r="K43" s="85" t="s">
        <v>58</v>
      </c>
      <c r="L43" s="100">
        <f t="shared" si="0"/>
        <v>0</v>
      </c>
      <c r="M43" s="343"/>
      <c r="N43" s="344"/>
      <c r="O43" s="313"/>
      <c r="P43" s="86" t="s">
        <v>59</v>
      </c>
      <c r="Q43" s="79">
        <v>0.1</v>
      </c>
      <c r="R43" s="316"/>
      <c r="S43" s="319"/>
    </row>
    <row r="44" spans="2:20" ht="32.25" customHeight="1">
      <c r="B44" s="345" t="s">
        <v>69</v>
      </c>
      <c r="C44" s="345"/>
      <c r="D44" s="345"/>
      <c r="E44" s="346">
        <f>(E36+E40)*0.2</f>
        <v>0</v>
      </c>
      <c r="F44" s="346"/>
      <c r="G44" s="350" t="s">
        <v>71</v>
      </c>
      <c r="H44" s="351"/>
      <c r="I44" s="351"/>
      <c r="J44" s="351"/>
      <c r="K44" s="351"/>
      <c r="L44" s="351"/>
      <c r="M44" s="87"/>
      <c r="N44" s="87"/>
      <c r="O44" s="88"/>
      <c r="P44" s="88"/>
      <c r="Q44" s="89"/>
      <c r="R44" s="88"/>
      <c r="S44" s="90"/>
    </row>
    <row r="45" spans="2:20" ht="32.25" customHeight="1">
      <c r="B45" s="345" t="s">
        <v>70</v>
      </c>
      <c r="C45" s="345"/>
      <c r="D45" s="345"/>
      <c r="E45" s="346">
        <f>ROUNDDOWN((E36+E40+E44)*0.3,0)</f>
        <v>0</v>
      </c>
      <c r="F45" s="346"/>
      <c r="G45" s="352" t="s">
        <v>72</v>
      </c>
      <c r="H45" s="352"/>
      <c r="I45" s="352"/>
      <c r="J45" s="352"/>
      <c r="K45" s="352"/>
      <c r="L45" s="352"/>
      <c r="M45" s="91"/>
      <c r="N45" s="92"/>
      <c r="O45" s="93"/>
      <c r="P45" s="93"/>
      <c r="Q45" s="93"/>
      <c r="R45" s="93"/>
      <c r="S45" s="94"/>
      <c r="T45" s="95"/>
    </row>
    <row r="46" spans="2:20" ht="32.25" customHeight="1">
      <c r="B46" s="345" t="s">
        <v>96</v>
      </c>
      <c r="C46" s="345"/>
      <c r="D46" s="345"/>
      <c r="E46" s="346">
        <f>E36+E40+E44+E45</f>
        <v>0</v>
      </c>
      <c r="F46" s="346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  <row r="50" spans="2:21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</row>
  </sheetData>
  <sheetProtection sheet="1" objects="1" scenarios="1"/>
  <mergeCells count="50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G42:H42"/>
    <mergeCell ref="I42:J42"/>
    <mergeCell ref="B46:D46"/>
    <mergeCell ref="E46:F46"/>
    <mergeCell ref="G41:H41"/>
    <mergeCell ref="E40:F43"/>
    <mergeCell ref="E44:F44"/>
    <mergeCell ref="B44:D44"/>
    <mergeCell ref="B40:D43"/>
    <mergeCell ref="G44:L44"/>
    <mergeCell ref="G45:L45"/>
    <mergeCell ref="G43:H43"/>
    <mergeCell ref="I43:J43"/>
    <mergeCell ref="B45:D45"/>
    <mergeCell ref="E45:F45"/>
    <mergeCell ref="R36:S39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</mergeCells>
  <phoneticPr fontId="1"/>
  <conditionalFormatting sqref="N22 O36:O39">
    <cfRule type="containsBlanks" dxfId="5" priority="4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&amp;L【浜医様式Mk2-2smo(10_1)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K3" sqref="K3"/>
    </sheetView>
  </sheetViews>
  <sheetFormatPr defaultRowHeight="18.75"/>
  <cols>
    <col min="1" max="2" width="9" style="64"/>
    <col min="3" max="17" width="7" style="64" customWidth="1"/>
    <col min="18" max="18" width="7.125" style="64" customWidth="1"/>
    <col min="19" max="20" width="6.625" style="64" customWidth="1"/>
    <col min="21" max="16384" width="9" style="64"/>
  </cols>
  <sheetData>
    <row r="1" spans="1:18" ht="24">
      <c r="A1" s="101" t="s">
        <v>129</v>
      </c>
    </row>
    <row r="3" spans="1:18" ht="23.25" customHeight="1">
      <c r="C3" s="425" t="s">
        <v>0</v>
      </c>
      <c r="D3" s="425"/>
      <c r="E3" s="425"/>
    </row>
    <row r="4" spans="1:18" ht="13.5" customHeight="1">
      <c r="F4" s="429" t="s">
        <v>9</v>
      </c>
      <c r="G4" s="430"/>
      <c r="H4" s="431"/>
    </row>
    <row r="5" spans="1:18" ht="13.5" customHeight="1">
      <c r="F5" s="432"/>
      <c r="G5" s="433"/>
      <c r="H5" s="434"/>
    </row>
    <row r="6" spans="1:18" ht="13.5" customHeight="1">
      <c r="F6" s="432"/>
      <c r="G6" s="433"/>
      <c r="H6" s="434"/>
    </row>
    <row r="7" spans="1:18" ht="13.5" customHeight="1">
      <c r="F7" s="432"/>
      <c r="G7" s="433"/>
      <c r="H7" s="434"/>
    </row>
    <row r="8" spans="1:18" ht="13.5" customHeight="1">
      <c r="F8" s="432"/>
      <c r="G8" s="433"/>
      <c r="H8" s="434"/>
    </row>
    <row r="9" spans="1:18" ht="13.5" customHeight="1">
      <c r="F9" s="432"/>
      <c r="G9" s="433"/>
      <c r="H9" s="434"/>
      <c r="I9" s="410" t="s">
        <v>10</v>
      </c>
      <c r="J9" s="411"/>
      <c r="K9" s="412"/>
    </row>
    <row r="10" spans="1:18" ht="13.5" customHeight="1">
      <c r="F10" s="432"/>
      <c r="G10" s="433"/>
      <c r="H10" s="434"/>
      <c r="I10" s="413"/>
      <c r="J10" s="414"/>
      <c r="K10" s="415"/>
    </row>
    <row r="11" spans="1:18" ht="13.5" customHeight="1">
      <c r="B11" s="67"/>
      <c r="C11" s="67"/>
      <c r="D11" s="67"/>
      <c r="F11" s="432"/>
      <c r="G11" s="433"/>
      <c r="H11" s="434"/>
      <c r="I11" s="413"/>
      <c r="J11" s="414"/>
      <c r="K11" s="415"/>
      <c r="L11" s="435" t="s">
        <v>11</v>
      </c>
      <c r="M11" s="435"/>
      <c r="N11" s="436"/>
      <c r="O11" s="102"/>
      <c r="P11" s="103"/>
      <c r="Q11" s="103"/>
    </row>
    <row r="12" spans="1:18" ht="13.5" customHeight="1">
      <c r="B12" s="67"/>
      <c r="C12" s="67"/>
      <c r="D12" s="67"/>
      <c r="F12" s="432"/>
      <c r="G12" s="433"/>
      <c r="H12" s="434"/>
      <c r="I12" s="413"/>
      <c r="J12" s="414"/>
      <c r="K12" s="415"/>
      <c r="L12" s="437"/>
      <c r="M12" s="437"/>
      <c r="N12" s="438"/>
      <c r="O12" s="416" t="s">
        <v>12</v>
      </c>
      <c r="P12" s="417"/>
      <c r="Q12" s="418"/>
    </row>
    <row r="13" spans="1:18" ht="13.5" customHeight="1">
      <c r="B13" s="409" t="s">
        <v>4</v>
      </c>
      <c r="C13" s="104"/>
      <c r="D13" s="104"/>
      <c r="F13" s="432"/>
      <c r="G13" s="433"/>
      <c r="H13" s="434"/>
      <c r="I13" s="413"/>
      <c r="J13" s="414"/>
      <c r="K13" s="415"/>
      <c r="L13" s="437"/>
      <c r="M13" s="437"/>
      <c r="N13" s="438"/>
      <c r="O13" s="419"/>
      <c r="P13" s="420"/>
      <c r="Q13" s="421"/>
      <c r="R13" s="409" t="s">
        <v>5</v>
      </c>
    </row>
    <row r="14" spans="1:18" ht="22.5" customHeight="1">
      <c r="B14" s="409"/>
      <c r="C14" s="104"/>
      <c r="D14" s="104"/>
      <c r="F14" s="422" t="s">
        <v>54</v>
      </c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4"/>
      <c r="R14" s="409"/>
    </row>
    <row r="15" spans="1:18">
      <c r="B15" s="409"/>
      <c r="C15" s="104"/>
      <c r="D15" s="104"/>
      <c r="R15" s="409"/>
    </row>
    <row r="16" spans="1:18">
      <c r="B16" s="409"/>
      <c r="C16" s="104"/>
      <c r="D16" s="104"/>
      <c r="R16" s="409"/>
    </row>
    <row r="17" spans="2:18" ht="18.75" customHeight="1" thickBot="1">
      <c r="F17" s="68" t="s">
        <v>6</v>
      </c>
      <c r="G17" s="69"/>
      <c r="H17" s="69"/>
      <c r="I17" s="68" t="s">
        <v>7</v>
      </c>
      <c r="L17" s="68" t="s">
        <v>8</v>
      </c>
      <c r="O17" s="68" t="s">
        <v>13</v>
      </c>
    </row>
    <row r="18" spans="2:18" ht="19.5" thickBot="1">
      <c r="E18" s="105" t="s">
        <v>14</v>
      </c>
      <c r="H18" s="62">
        <f>ROUNDDOWN(Q18*1/4,0)</f>
        <v>0</v>
      </c>
      <c r="I18" s="105"/>
      <c r="J18" s="105"/>
      <c r="K18" s="62">
        <f>H18*2</f>
        <v>0</v>
      </c>
      <c r="L18" s="105"/>
      <c r="M18" s="105"/>
      <c r="N18" s="62">
        <f>H18*3</f>
        <v>0</v>
      </c>
      <c r="Q18" s="65"/>
    </row>
    <row r="22" spans="2:18">
      <c r="B22" s="64" t="s">
        <v>55</v>
      </c>
    </row>
    <row r="23" spans="2:18" ht="13.5" customHeight="1">
      <c r="C23" s="416" t="s">
        <v>21</v>
      </c>
      <c r="D23" s="417"/>
      <c r="E23" s="418"/>
      <c r="F23" s="416" t="s">
        <v>22</v>
      </c>
      <c r="G23" s="417"/>
      <c r="H23" s="418"/>
      <c r="I23" s="416" t="s">
        <v>23</v>
      </c>
      <c r="J23" s="417"/>
      <c r="K23" s="418"/>
      <c r="L23" s="416" t="s">
        <v>24</v>
      </c>
      <c r="M23" s="417"/>
      <c r="N23" s="418"/>
      <c r="O23" s="416" t="s">
        <v>29</v>
      </c>
      <c r="P23" s="417"/>
      <c r="Q23" s="418"/>
    </row>
    <row r="24" spans="2:18" ht="13.5" customHeight="1">
      <c r="C24" s="426"/>
      <c r="D24" s="427"/>
      <c r="E24" s="428"/>
      <c r="F24" s="426"/>
      <c r="G24" s="427"/>
      <c r="H24" s="428"/>
      <c r="I24" s="426"/>
      <c r="J24" s="427"/>
      <c r="K24" s="428"/>
      <c r="L24" s="426"/>
      <c r="M24" s="427"/>
      <c r="N24" s="428"/>
      <c r="O24" s="426"/>
      <c r="P24" s="427"/>
      <c r="Q24" s="428"/>
      <c r="R24" s="69" t="s">
        <v>50</v>
      </c>
    </row>
    <row r="25" spans="2:18">
      <c r="O25" s="67"/>
    </row>
    <row r="26" spans="2:18">
      <c r="O26" s="67"/>
    </row>
    <row r="27" spans="2:18">
      <c r="C27" s="68" t="s">
        <v>25</v>
      </c>
      <c r="D27" s="69"/>
      <c r="E27" s="69"/>
      <c r="F27" s="68" t="s">
        <v>26</v>
      </c>
      <c r="I27" s="68" t="s">
        <v>27</v>
      </c>
      <c r="L27" s="68" t="s">
        <v>28</v>
      </c>
      <c r="O27" s="68" t="s">
        <v>30</v>
      </c>
    </row>
    <row r="28" spans="2:18">
      <c r="B28" s="70">
        <f>Q18</f>
        <v>0</v>
      </c>
      <c r="E28" s="70">
        <f>B28+($Q$18-$N$18)</f>
        <v>0</v>
      </c>
      <c r="H28" s="70">
        <f>E28+($Q$18-$N$18)</f>
        <v>0</v>
      </c>
      <c r="K28" s="70">
        <f>H28+($Q$18-$N$18)</f>
        <v>0</v>
      </c>
      <c r="N28" s="70">
        <f>K28+($Q$18-$N$18)</f>
        <v>0</v>
      </c>
      <c r="R28" s="106"/>
    </row>
    <row r="29" spans="2:18">
      <c r="R29" s="107"/>
    </row>
    <row r="30" spans="2:18">
      <c r="R30" s="107"/>
    </row>
    <row r="31" spans="2:18">
      <c r="R31" s="108"/>
    </row>
    <row r="33" spans="2:20" ht="19.5">
      <c r="B33" s="320" t="s">
        <v>66</v>
      </c>
      <c r="C33" s="320"/>
      <c r="D33" s="320"/>
      <c r="E33" s="320" t="s">
        <v>56</v>
      </c>
      <c r="F33" s="321"/>
      <c r="G33" s="406" t="s">
        <v>63</v>
      </c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8"/>
      <c r="T33" s="55"/>
    </row>
    <row r="34" spans="2:20" ht="19.5">
      <c r="B34" s="345" t="s">
        <v>67</v>
      </c>
      <c r="C34" s="345"/>
      <c r="D34" s="345"/>
      <c r="E34" s="346">
        <f>SUM(G34:H38)</f>
        <v>0</v>
      </c>
      <c r="F34" s="349"/>
      <c r="G34" s="396">
        <f>L34*$O$34*Q34*6000*0.8*1.1</f>
        <v>0</v>
      </c>
      <c r="H34" s="397"/>
      <c r="I34" s="398" t="s">
        <v>57</v>
      </c>
      <c r="J34" s="399"/>
      <c r="K34" s="142" t="s">
        <v>58</v>
      </c>
      <c r="L34" s="145"/>
      <c r="M34" s="339" t="s">
        <v>65</v>
      </c>
      <c r="N34" s="340"/>
      <c r="O34" s="336"/>
      <c r="P34" s="109" t="s">
        <v>59</v>
      </c>
      <c r="Q34" s="110">
        <v>0.5</v>
      </c>
      <c r="R34" s="400" t="s">
        <v>132</v>
      </c>
      <c r="S34" s="401"/>
      <c r="T34" s="55"/>
    </row>
    <row r="35" spans="2:20" ht="19.5">
      <c r="B35" s="345"/>
      <c r="C35" s="345"/>
      <c r="D35" s="345"/>
      <c r="E35" s="346"/>
      <c r="F35" s="349"/>
      <c r="G35" s="332">
        <f>L35*$O$34*Q35*6000*0.8*1.1</f>
        <v>0</v>
      </c>
      <c r="H35" s="394"/>
      <c r="I35" s="328" t="s">
        <v>60</v>
      </c>
      <c r="J35" s="329"/>
      <c r="K35" s="143" t="s">
        <v>58</v>
      </c>
      <c r="L35" s="146"/>
      <c r="M35" s="341"/>
      <c r="N35" s="342"/>
      <c r="O35" s="337"/>
      <c r="P35" s="76" t="s">
        <v>59</v>
      </c>
      <c r="Q35" s="77">
        <v>0.25</v>
      </c>
      <c r="R35" s="402"/>
      <c r="S35" s="403"/>
      <c r="T35" s="55"/>
    </row>
    <row r="36" spans="2:20" ht="19.5">
      <c r="B36" s="345"/>
      <c r="C36" s="345"/>
      <c r="D36" s="345"/>
      <c r="E36" s="346"/>
      <c r="F36" s="349"/>
      <c r="G36" s="332">
        <f>L36*$O$34*Q36*6000*0.8*1.1</f>
        <v>0</v>
      </c>
      <c r="H36" s="394"/>
      <c r="I36" s="326" t="s">
        <v>61</v>
      </c>
      <c r="J36" s="327"/>
      <c r="K36" s="143" t="s">
        <v>58</v>
      </c>
      <c r="L36" s="146"/>
      <c r="M36" s="341"/>
      <c r="N36" s="342"/>
      <c r="O36" s="337"/>
      <c r="P36" s="76" t="s">
        <v>59</v>
      </c>
      <c r="Q36" s="77">
        <v>0.15</v>
      </c>
      <c r="R36" s="402"/>
      <c r="S36" s="403"/>
      <c r="T36" s="55"/>
    </row>
    <row r="37" spans="2:20" ht="19.5">
      <c r="B37" s="345"/>
      <c r="C37" s="345"/>
      <c r="D37" s="345"/>
      <c r="E37" s="346"/>
      <c r="F37" s="349"/>
      <c r="G37" s="332">
        <f>L37*$O$34*Q37*6000*0.8*1.1</f>
        <v>0</v>
      </c>
      <c r="H37" s="394"/>
      <c r="I37" s="392" t="s">
        <v>115</v>
      </c>
      <c r="J37" s="393"/>
      <c r="K37" s="143" t="s">
        <v>58</v>
      </c>
      <c r="L37" s="148"/>
      <c r="M37" s="341"/>
      <c r="N37" s="342"/>
      <c r="O37" s="337"/>
      <c r="P37" s="76" t="s">
        <v>59</v>
      </c>
      <c r="Q37" s="111">
        <v>0.1</v>
      </c>
      <c r="R37" s="402"/>
      <c r="S37" s="403"/>
      <c r="T37" s="55"/>
    </row>
    <row r="38" spans="2:20" ht="19.5">
      <c r="B38" s="345"/>
      <c r="C38" s="345"/>
      <c r="D38" s="345"/>
      <c r="E38" s="346"/>
      <c r="F38" s="349"/>
      <c r="G38" s="334">
        <f>L38*$O$34*Q38*6000*0.8*1.1</f>
        <v>0</v>
      </c>
      <c r="H38" s="439"/>
      <c r="I38" s="324" t="s">
        <v>62</v>
      </c>
      <c r="J38" s="325"/>
      <c r="K38" s="144" t="s">
        <v>58</v>
      </c>
      <c r="L38" s="147"/>
      <c r="M38" s="343"/>
      <c r="N38" s="344"/>
      <c r="O38" s="338"/>
      <c r="P38" s="78" t="s">
        <v>59</v>
      </c>
      <c r="Q38" s="79">
        <v>0.1</v>
      </c>
      <c r="R38" s="404"/>
      <c r="S38" s="405"/>
      <c r="T38" s="55"/>
    </row>
    <row r="39" spans="2:20" ht="19.5">
      <c r="B39" s="345" t="s">
        <v>68</v>
      </c>
      <c r="C39" s="345"/>
      <c r="D39" s="345"/>
      <c r="E39" s="346">
        <f>SUM(G39:H43)</f>
        <v>0</v>
      </c>
      <c r="F39" s="349"/>
      <c r="G39" s="396">
        <f>L39*$O$39*Q39*1500*1.1</f>
        <v>0</v>
      </c>
      <c r="H39" s="397"/>
      <c r="I39" s="398" t="s">
        <v>57</v>
      </c>
      <c r="J39" s="399"/>
      <c r="K39" s="80" t="s">
        <v>58</v>
      </c>
      <c r="L39" s="98">
        <f>L34</f>
        <v>0</v>
      </c>
      <c r="M39" s="395" t="s">
        <v>65</v>
      </c>
      <c r="N39" s="340"/>
      <c r="O39" s="312">
        <f>O34</f>
        <v>0</v>
      </c>
      <c r="P39" s="81" t="s">
        <v>59</v>
      </c>
      <c r="Q39" s="110">
        <v>0.5</v>
      </c>
      <c r="R39" s="314" t="s">
        <v>136</v>
      </c>
      <c r="S39" s="317" t="s">
        <v>64</v>
      </c>
      <c r="T39" s="82"/>
    </row>
    <row r="40" spans="2:20" ht="19.5">
      <c r="B40" s="345"/>
      <c r="C40" s="345"/>
      <c r="D40" s="345"/>
      <c r="E40" s="346"/>
      <c r="F40" s="349"/>
      <c r="G40" s="332">
        <f>L40*$O$39*Q40*1500*1.1</f>
        <v>0</v>
      </c>
      <c r="H40" s="394"/>
      <c r="I40" s="328" t="s">
        <v>60</v>
      </c>
      <c r="J40" s="329"/>
      <c r="K40" s="83" t="s">
        <v>58</v>
      </c>
      <c r="L40" s="99">
        <f>L35</f>
        <v>0</v>
      </c>
      <c r="M40" s="341"/>
      <c r="N40" s="342"/>
      <c r="O40" s="312"/>
      <c r="P40" s="84" t="s">
        <v>59</v>
      </c>
      <c r="Q40" s="77">
        <v>0.25</v>
      </c>
      <c r="R40" s="315"/>
      <c r="S40" s="318"/>
      <c r="T40" s="55"/>
    </row>
    <row r="41" spans="2:20" ht="19.5">
      <c r="B41" s="345"/>
      <c r="C41" s="345"/>
      <c r="D41" s="345"/>
      <c r="E41" s="346"/>
      <c r="F41" s="349"/>
      <c r="G41" s="332">
        <f>L41*$O$39*Q41*1500*1.1</f>
        <v>0</v>
      </c>
      <c r="H41" s="394"/>
      <c r="I41" s="326" t="s">
        <v>61</v>
      </c>
      <c r="J41" s="327"/>
      <c r="K41" s="83" t="s">
        <v>58</v>
      </c>
      <c r="L41" s="99">
        <f>L36</f>
        <v>0</v>
      </c>
      <c r="M41" s="341"/>
      <c r="N41" s="342"/>
      <c r="O41" s="312"/>
      <c r="P41" s="84" t="s">
        <v>59</v>
      </c>
      <c r="Q41" s="77">
        <v>0.15</v>
      </c>
      <c r="R41" s="315"/>
      <c r="S41" s="318"/>
      <c r="T41" s="55"/>
    </row>
    <row r="42" spans="2:20" ht="19.5">
      <c r="B42" s="345"/>
      <c r="C42" s="345"/>
      <c r="D42" s="345"/>
      <c r="E42" s="346"/>
      <c r="F42" s="349"/>
      <c r="G42" s="332">
        <f>L42*$O$39*Q42*1500*1.1</f>
        <v>0</v>
      </c>
      <c r="H42" s="394"/>
      <c r="I42" s="392" t="s">
        <v>115</v>
      </c>
      <c r="J42" s="393"/>
      <c r="K42" s="83" t="s">
        <v>58</v>
      </c>
      <c r="L42" s="99">
        <f>L37</f>
        <v>0</v>
      </c>
      <c r="M42" s="341"/>
      <c r="N42" s="342"/>
      <c r="O42" s="312"/>
      <c r="P42" s="84" t="s">
        <v>59</v>
      </c>
      <c r="Q42" s="111">
        <v>0.1</v>
      </c>
      <c r="R42" s="315"/>
      <c r="S42" s="318"/>
      <c r="T42" s="55"/>
    </row>
    <row r="43" spans="2:20" ht="19.5">
      <c r="B43" s="345"/>
      <c r="C43" s="345"/>
      <c r="D43" s="345"/>
      <c r="E43" s="346"/>
      <c r="F43" s="349"/>
      <c r="G43" s="334">
        <f>L43*$O$39*Q43*1500*1.1</f>
        <v>0</v>
      </c>
      <c r="H43" s="439"/>
      <c r="I43" s="324" t="s">
        <v>62</v>
      </c>
      <c r="J43" s="325"/>
      <c r="K43" s="85" t="s">
        <v>58</v>
      </c>
      <c r="L43" s="100">
        <f t="shared" ref="L43" si="0">L38</f>
        <v>0</v>
      </c>
      <c r="M43" s="343"/>
      <c r="N43" s="344"/>
      <c r="O43" s="313"/>
      <c r="P43" s="86" t="s">
        <v>59</v>
      </c>
      <c r="Q43" s="79">
        <v>0.1</v>
      </c>
      <c r="R43" s="316"/>
      <c r="S43" s="319"/>
      <c r="T43" s="55"/>
    </row>
    <row r="44" spans="2:20" ht="19.5">
      <c r="B44" s="345" t="s">
        <v>69</v>
      </c>
      <c r="C44" s="345"/>
      <c r="D44" s="345"/>
      <c r="E44" s="346">
        <f>(E34+E39)*0.2</f>
        <v>0</v>
      </c>
      <c r="F44" s="346"/>
      <c r="G44" s="350" t="s">
        <v>71</v>
      </c>
      <c r="H44" s="351"/>
      <c r="I44" s="351"/>
      <c r="J44" s="351"/>
      <c r="K44" s="351"/>
      <c r="L44" s="351"/>
      <c r="M44" s="87"/>
      <c r="N44" s="87"/>
      <c r="O44" s="88"/>
      <c r="P44" s="88"/>
      <c r="Q44" s="89"/>
      <c r="R44" s="88"/>
      <c r="S44" s="90"/>
      <c r="T44" s="55"/>
    </row>
    <row r="45" spans="2:20" ht="19.5">
      <c r="B45" s="345" t="s">
        <v>70</v>
      </c>
      <c r="C45" s="345"/>
      <c r="D45" s="345"/>
      <c r="E45" s="346">
        <f>ROUNDDOWN((E34+E39+E44)*0.3,0)</f>
        <v>0</v>
      </c>
      <c r="F45" s="346"/>
      <c r="G45" s="352" t="s">
        <v>72</v>
      </c>
      <c r="H45" s="352"/>
      <c r="I45" s="352"/>
      <c r="J45" s="352"/>
      <c r="K45" s="352"/>
      <c r="L45" s="352"/>
      <c r="M45" s="91"/>
      <c r="N45" s="92"/>
      <c r="O45" s="93"/>
      <c r="P45" s="93"/>
      <c r="Q45" s="93"/>
      <c r="R45" s="93"/>
      <c r="S45" s="94"/>
      <c r="T45" s="95"/>
    </row>
    <row r="46" spans="2:20" ht="19.5">
      <c r="B46" s="345" t="s">
        <v>96</v>
      </c>
      <c r="C46" s="345"/>
      <c r="D46" s="345"/>
      <c r="E46" s="346">
        <f>E34+E39+E44+E45</f>
        <v>0</v>
      </c>
      <c r="F46" s="346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  <c r="T46" s="55"/>
    </row>
  </sheetData>
  <sheetProtection sheet="1" objects="1" scenarios="1"/>
  <mergeCells count="55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  <mergeCell ref="R34:S38"/>
  </mergeCells>
  <phoneticPr fontId="1"/>
  <conditionalFormatting sqref="Q18 O34:O38">
    <cfRule type="containsBlanks" dxfId="4" priority="3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&amp;L【浜医様式Mk2-2smo(10_1)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A3" sqref="A3"/>
    </sheetView>
  </sheetViews>
  <sheetFormatPr defaultRowHeight="18.75"/>
  <cols>
    <col min="1" max="2" width="9" style="64"/>
    <col min="3" max="17" width="7" style="64" customWidth="1"/>
    <col min="18" max="16384" width="9" style="64"/>
  </cols>
  <sheetData>
    <row r="1" spans="1:18" ht="24">
      <c r="A1" s="101" t="s">
        <v>130</v>
      </c>
    </row>
    <row r="3" spans="1:18" ht="23.25" customHeight="1">
      <c r="C3" s="441" t="s">
        <v>0</v>
      </c>
      <c r="D3" s="442"/>
      <c r="E3" s="443"/>
    </row>
    <row r="4" spans="1:18" ht="13.5" customHeight="1">
      <c r="F4" s="429" t="s">
        <v>15</v>
      </c>
      <c r="G4" s="430"/>
      <c r="H4" s="431"/>
    </row>
    <row r="5" spans="1:18" ht="13.5" customHeight="1">
      <c r="F5" s="432"/>
      <c r="G5" s="433"/>
      <c r="H5" s="434"/>
    </row>
    <row r="6" spans="1:18" ht="13.5" customHeight="1">
      <c r="F6" s="432"/>
      <c r="G6" s="433"/>
      <c r="H6" s="434"/>
    </row>
    <row r="7" spans="1:18" ht="13.5" customHeight="1">
      <c r="F7" s="432"/>
      <c r="G7" s="433"/>
      <c r="H7" s="434"/>
    </row>
    <row r="8" spans="1:18" ht="13.5" customHeight="1">
      <c r="F8" s="432"/>
      <c r="G8" s="433"/>
      <c r="H8" s="434"/>
    </row>
    <row r="9" spans="1:18" ht="13.5" customHeight="1">
      <c r="F9" s="432"/>
      <c r="G9" s="433"/>
      <c r="H9" s="434"/>
      <c r="I9" s="410" t="s">
        <v>16</v>
      </c>
      <c r="J9" s="411"/>
      <c r="K9" s="412"/>
    </row>
    <row r="10" spans="1:18" ht="13.5" customHeight="1">
      <c r="F10" s="432"/>
      <c r="G10" s="433"/>
      <c r="H10" s="434"/>
      <c r="I10" s="413"/>
      <c r="J10" s="414"/>
      <c r="K10" s="415"/>
    </row>
    <row r="11" spans="1:18" ht="13.5" customHeight="1">
      <c r="B11" s="67"/>
      <c r="C11" s="67"/>
      <c r="D11" s="67"/>
      <c r="F11" s="432"/>
      <c r="G11" s="433"/>
      <c r="H11" s="434"/>
      <c r="I11" s="413"/>
      <c r="J11" s="414"/>
      <c r="K11" s="415"/>
      <c r="L11" s="450" t="s">
        <v>17</v>
      </c>
      <c r="M11" s="450"/>
      <c r="N11" s="451"/>
      <c r="O11" s="102"/>
      <c r="P11" s="103"/>
      <c r="Q11" s="103"/>
    </row>
    <row r="12" spans="1:18" ht="13.5" customHeight="1">
      <c r="B12" s="67"/>
      <c r="C12" s="67"/>
      <c r="D12" s="67"/>
      <c r="F12" s="432"/>
      <c r="G12" s="433"/>
      <c r="H12" s="434"/>
      <c r="I12" s="413"/>
      <c r="J12" s="414"/>
      <c r="K12" s="415"/>
      <c r="L12" s="452"/>
      <c r="M12" s="452"/>
      <c r="N12" s="453"/>
      <c r="O12" s="416" t="s">
        <v>12</v>
      </c>
      <c r="P12" s="417"/>
      <c r="Q12" s="418"/>
    </row>
    <row r="13" spans="1:18" ht="13.5" customHeight="1">
      <c r="B13" s="409" t="s">
        <v>4</v>
      </c>
      <c r="C13" s="104"/>
      <c r="D13" s="104"/>
      <c r="F13" s="444"/>
      <c r="G13" s="445"/>
      <c r="H13" s="446"/>
      <c r="I13" s="447"/>
      <c r="J13" s="448"/>
      <c r="K13" s="449"/>
      <c r="L13" s="454"/>
      <c r="M13" s="454"/>
      <c r="N13" s="455"/>
      <c r="O13" s="426"/>
      <c r="P13" s="427"/>
      <c r="Q13" s="428"/>
      <c r="R13" s="409" t="s">
        <v>5</v>
      </c>
    </row>
    <row r="14" spans="1:18" ht="22.5" customHeight="1">
      <c r="B14" s="409"/>
      <c r="C14" s="104"/>
      <c r="D14" s="104"/>
      <c r="F14" s="440" t="s">
        <v>54</v>
      </c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8"/>
      <c r="R14" s="409"/>
    </row>
    <row r="15" spans="1:18">
      <c r="B15" s="409"/>
      <c r="C15" s="104"/>
      <c r="D15" s="104"/>
      <c r="R15" s="409"/>
    </row>
    <row r="16" spans="1:18">
      <c r="B16" s="409"/>
      <c r="C16" s="104"/>
      <c r="D16" s="104"/>
      <c r="R16" s="409"/>
    </row>
    <row r="17" spans="2:18" ht="18.75" customHeight="1">
      <c r="F17" s="68" t="s">
        <v>6</v>
      </c>
      <c r="G17" s="69"/>
      <c r="H17" s="69"/>
      <c r="I17" s="68" t="s">
        <v>7</v>
      </c>
      <c r="L17" s="68" t="s">
        <v>8</v>
      </c>
      <c r="O17" s="68" t="s">
        <v>13</v>
      </c>
    </row>
    <row r="18" spans="2:18" ht="19.5" thickBot="1">
      <c r="E18" s="105" t="s">
        <v>14</v>
      </c>
      <c r="H18" s="112" t="s">
        <v>18</v>
      </c>
      <c r="I18" s="105"/>
      <c r="J18" s="105"/>
      <c r="K18" s="112" t="s">
        <v>19</v>
      </c>
      <c r="L18" s="105"/>
      <c r="M18" s="105"/>
      <c r="N18" s="112" t="s">
        <v>20</v>
      </c>
      <c r="R18" s="106"/>
    </row>
    <row r="19" spans="2:18" ht="19.5" thickBot="1">
      <c r="H19" s="113">
        <v>26</v>
      </c>
      <c r="I19" s="114"/>
      <c r="J19" s="114"/>
      <c r="K19" s="113">
        <v>52</v>
      </c>
      <c r="L19" s="114"/>
      <c r="M19" s="114"/>
      <c r="N19" s="113">
        <v>78</v>
      </c>
      <c r="Q19" s="65"/>
    </row>
    <row r="22" spans="2:18">
      <c r="B22" s="64" t="s">
        <v>55</v>
      </c>
    </row>
    <row r="23" spans="2:18" ht="12.75" customHeight="1">
      <c r="C23" s="416" t="s">
        <v>21</v>
      </c>
      <c r="D23" s="417"/>
      <c r="E23" s="418"/>
      <c r="F23" s="416" t="s">
        <v>22</v>
      </c>
      <c r="G23" s="417"/>
      <c r="H23" s="418"/>
      <c r="I23" s="416" t="s">
        <v>23</v>
      </c>
      <c r="J23" s="417"/>
      <c r="K23" s="418"/>
      <c r="L23" s="416" t="s">
        <v>24</v>
      </c>
      <c r="M23" s="417"/>
      <c r="N23" s="418"/>
      <c r="O23" s="416" t="s">
        <v>29</v>
      </c>
      <c r="P23" s="417"/>
      <c r="Q23" s="418"/>
    </row>
    <row r="24" spans="2:18" ht="12.75" customHeight="1">
      <c r="C24" s="426"/>
      <c r="D24" s="427"/>
      <c r="E24" s="428"/>
      <c r="F24" s="426"/>
      <c r="G24" s="427"/>
      <c r="H24" s="428"/>
      <c r="I24" s="426"/>
      <c r="J24" s="427"/>
      <c r="K24" s="428"/>
      <c r="L24" s="426"/>
      <c r="M24" s="427"/>
      <c r="N24" s="428"/>
      <c r="O24" s="426"/>
      <c r="P24" s="427"/>
      <c r="Q24" s="428"/>
      <c r="R24" s="69" t="s">
        <v>50</v>
      </c>
    </row>
    <row r="25" spans="2:18">
      <c r="O25" s="67"/>
    </row>
    <row r="26" spans="2:18">
      <c r="O26" s="67"/>
    </row>
    <row r="27" spans="2:18">
      <c r="C27" s="68" t="s">
        <v>25</v>
      </c>
      <c r="D27" s="69"/>
      <c r="E27" s="69"/>
      <c r="F27" s="68" t="s">
        <v>26</v>
      </c>
      <c r="I27" s="68" t="s">
        <v>27</v>
      </c>
      <c r="L27" s="68" t="s">
        <v>28</v>
      </c>
      <c r="O27" s="68" t="s">
        <v>30</v>
      </c>
    </row>
    <row r="28" spans="2:18">
      <c r="B28" s="115">
        <f>Q19</f>
        <v>0</v>
      </c>
      <c r="C28" s="116"/>
      <c r="D28" s="116"/>
      <c r="E28" s="117">
        <f>B28+($Q$19-$N$19)</f>
        <v>-78</v>
      </c>
      <c r="F28" s="116"/>
      <c r="G28" s="116"/>
      <c r="H28" s="117">
        <f>E28+($Q$19-$N$19)</f>
        <v>-156</v>
      </c>
      <c r="I28" s="116"/>
      <c r="J28" s="116"/>
      <c r="K28" s="117">
        <f>H28+($Q$19-$N$19)</f>
        <v>-234</v>
      </c>
      <c r="L28" s="116"/>
      <c r="M28" s="116"/>
      <c r="N28" s="117">
        <f>K28+($Q$19-$N$19)</f>
        <v>-312</v>
      </c>
      <c r="R28" s="106"/>
    </row>
    <row r="29" spans="2:18">
      <c r="R29" s="107"/>
    </row>
    <row r="30" spans="2:18">
      <c r="R30" s="108"/>
    </row>
    <row r="33" spans="2:19" ht="19.5">
      <c r="B33" s="320" t="s">
        <v>66</v>
      </c>
      <c r="C33" s="320"/>
      <c r="D33" s="320"/>
      <c r="E33" s="320" t="s">
        <v>56</v>
      </c>
      <c r="F33" s="321"/>
      <c r="G33" s="406" t="s">
        <v>63</v>
      </c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8"/>
    </row>
    <row r="34" spans="2:19" ht="19.5">
      <c r="B34" s="345" t="s">
        <v>67</v>
      </c>
      <c r="C34" s="345"/>
      <c r="D34" s="345"/>
      <c r="E34" s="346">
        <f>SUM(G34:H38)</f>
        <v>0</v>
      </c>
      <c r="F34" s="349"/>
      <c r="G34" s="396">
        <f>L34*$O$34*Q34*6000*0.8*1.1</f>
        <v>0</v>
      </c>
      <c r="H34" s="397"/>
      <c r="I34" s="398" t="s">
        <v>57</v>
      </c>
      <c r="J34" s="399"/>
      <c r="K34" s="142" t="s">
        <v>58</v>
      </c>
      <c r="L34" s="145"/>
      <c r="M34" s="339" t="s">
        <v>65</v>
      </c>
      <c r="N34" s="340"/>
      <c r="O34" s="336"/>
      <c r="P34" s="109" t="s">
        <v>59</v>
      </c>
      <c r="Q34" s="110">
        <v>0.5</v>
      </c>
      <c r="R34" s="306" t="s">
        <v>133</v>
      </c>
      <c r="S34" s="307"/>
    </row>
    <row r="35" spans="2:19" ht="19.5">
      <c r="B35" s="345"/>
      <c r="C35" s="345"/>
      <c r="D35" s="345"/>
      <c r="E35" s="346"/>
      <c r="F35" s="349"/>
      <c r="G35" s="332">
        <f>L35*$O$34*Q35*6000*0.8*1.1</f>
        <v>0</v>
      </c>
      <c r="H35" s="394"/>
      <c r="I35" s="328" t="s">
        <v>60</v>
      </c>
      <c r="J35" s="329"/>
      <c r="K35" s="143" t="s">
        <v>58</v>
      </c>
      <c r="L35" s="146"/>
      <c r="M35" s="341"/>
      <c r="N35" s="342"/>
      <c r="O35" s="337"/>
      <c r="P35" s="76" t="s">
        <v>59</v>
      </c>
      <c r="Q35" s="77">
        <v>0.25</v>
      </c>
      <c r="R35" s="308"/>
      <c r="S35" s="309"/>
    </row>
    <row r="36" spans="2:19" ht="19.5">
      <c r="B36" s="345"/>
      <c r="C36" s="345"/>
      <c r="D36" s="345"/>
      <c r="E36" s="346"/>
      <c r="F36" s="349"/>
      <c r="G36" s="332">
        <f>L36*$O$34*Q36*6000*0.8*1.1</f>
        <v>0</v>
      </c>
      <c r="H36" s="394"/>
      <c r="I36" s="326" t="s">
        <v>61</v>
      </c>
      <c r="J36" s="327"/>
      <c r="K36" s="143" t="s">
        <v>58</v>
      </c>
      <c r="L36" s="146"/>
      <c r="M36" s="341"/>
      <c r="N36" s="342"/>
      <c r="O36" s="337"/>
      <c r="P36" s="76" t="s">
        <v>59</v>
      </c>
      <c r="Q36" s="77">
        <v>0.15</v>
      </c>
      <c r="R36" s="308"/>
      <c r="S36" s="309"/>
    </row>
    <row r="37" spans="2:19" ht="19.5">
      <c r="B37" s="345"/>
      <c r="C37" s="345"/>
      <c r="D37" s="345"/>
      <c r="E37" s="346"/>
      <c r="F37" s="349"/>
      <c r="G37" s="332">
        <f>L37*$O$34*Q37*6000*0.8*1.1</f>
        <v>0</v>
      </c>
      <c r="H37" s="394"/>
      <c r="I37" s="392" t="s">
        <v>115</v>
      </c>
      <c r="J37" s="393"/>
      <c r="K37" s="143" t="s">
        <v>58</v>
      </c>
      <c r="L37" s="148"/>
      <c r="M37" s="341"/>
      <c r="N37" s="342"/>
      <c r="O37" s="337"/>
      <c r="P37" s="76" t="s">
        <v>59</v>
      </c>
      <c r="Q37" s="111">
        <v>0.1</v>
      </c>
      <c r="R37" s="308"/>
      <c r="S37" s="309"/>
    </row>
    <row r="38" spans="2:19" ht="19.5">
      <c r="B38" s="345"/>
      <c r="C38" s="345"/>
      <c r="D38" s="345"/>
      <c r="E38" s="346"/>
      <c r="F38" s="349"/>
      <c r="G38" s="334">
        <f>L38*$O$34*Q38*6000*0.8*1.1</f>
        <v>0</v>
      </c>
      <c r="H38" s="439"/>
      <c r="I38" s="324" t="s">
        <v>62</v>
      </c>
      <c r="J38" s="325"/>
      <c r="K38" s="144" t="s">
        <v>58</v>
      </c>
      <c r="L38" s="147"/>
      <c r="M38" s="343"/>
      <c r="N38" s="344"/>
      <c r="O38" s="338"/>
      <c r="P38" s="78" t="s">
        <v>59</v>
      </c>
      <c r="Q38" s="79">
        <v>0.1</v>
      </c>
      <c r="R38" s="310"/>
      <c r="S38" s="311"/>
    </row>
    <row r="39" spans="2:19" ht="19.5">
      <c r="B39" s="345" t="s">
        <v>68</v>
      </c>
      <c r="C39" s="345"/>
      <c r="D39" s="345"/>
      <c r="E39" s="346">
        <f>SUM(G39:H43)</f>
        <v>0</v>
      </c>
      <c r="F39" s="349"/>
      <c r="G39" s="396">
        <f>L39*$O$39*Q39*1500*1.1</f>
        <v>0</v>
      </c>
      <c r="H39" s="397"/>
      <c r="I39" s="398" t="s">
        <v>57</v>
      </c>
      <c r="J39" s="399"/>
      <c r="K39" s="80" t="s">
        <v>58</v>
      </c>
      <c r="L39" s="98">
        <f>L34</f>
        <v>0</v>
      </c>
      <c r="M39" s="339" t="s">
        <v>65</v>
      </c>
      <c r="N39" s="340"/>
      <c r="O39" s="312">
        <f>O34</f>
        <v>0</v>
      </c>
      <c r="P39" s="81" t="s">
        <v>59</v>
      </c>
      <c r="Q39" s="110">
        <v>0.5</v>
      </c>
      <c r="R39" s="314" t="s">
        <v>135</v>
      </c>
      <c r="S39" s="317" t="s">
        <v>64</v>
      </c>
    </row>
    <row r="40" spans="2:19" ht="19.5">
      <c r="B40" s="345"/>
      <c r="C40" s="345"/>
      <c r="D40" s="345"/>
      <c r="E40" s="346"/>
      <c r="F40" s="349"/>
      <c r="G40" s="332">
        <f>L40*$O$39*Q40*1500*1.1</f>
        <v>0</v>
      </c>
      <c r="H40" s="394"/>
      <c r="I40" s="328" t="s">
        <v>60</v>
      </c>
      <c r="J40" s="329"/>
      <c r="K40" s="83" t="s">
        <v>58</v>
      </c>
      <c r="L40" s="99">
        <f>L35</f>
        <v>0</v>
      </c>
      <c r="M40" s="341"/>
      <c r="N40" s="342"/>
      <c r="O40" s="312"/>
      <c r="P40" s="84" t="s">
        <v>59</v>
      </c>
      <c r="Q40" s="77">
        <v>0.25</v>
      </c>
      <c r="R40" s="315"/>
      <c r="S40" s="318"/>
    </row>
    <row r="41" spans="2:19" ht="19.5">
      <c r="B41" s="345"/>
      <c r="C41" s="345"/>
      <c r="D41" s="345"/>
      <c r="E41" s="346"/>
      <c r="F41" s="349"/>
      <c r="G41" s="332">
        <f>L41*$O$39*Q41*1500*1.1</f>
        <v>0</v>
      </c>
      <c r="H41" s="394"/>
      <c r="I41" s="326" t="s">
        <v>61</v>
      </c>
      <c r="J41" s="327"/>
      <c r="K41" s="83" t="s">
        <v>58</v>
      </c>
      <c r="L41" s="99">
        <f>L36</f>
        <v>0</v>
      </c>
      <c r="M41" s="341"/>
      <c r="N41" s="342"/>
      <c r="O41" s="312"/>
      <c r="P41" s="84" t="s">
        <v>59</v>
      </c>
      <c r="Q41" s="77">
        <v>0.15</v>
      </c>
      <c r="R41" s="315"/>
      <c r="S41" s="318"/>
    </row>
    <row r="42" spans="2:19" ht="19.5">
      <c r="B42" s="345"/>
      <c r="C42" s="345"/>
      <c r="D42" s="345"/>
      <c r="E42" s="346"/>
      <c r="F42" s="349"/>
      <c r="G42" s="332">
        <f>L42*$O$39*Q42*1500*1.1</f>
        <v>0</v>
      </c>
      <c r="H42" s="394"/>
      <c r="I42" s="392" t="s">
        <v>115</v>
      </c>
      <c r="J42" s="393"/>
      <c r="K42" s="83" t="s">
        <v>58</v>
      </c>
      <c r="L42" s="99">
        <f>L37</f>
        <v>0</v>
      </c>
      <c r="M42" s="341"/>
      <c r="N42" s="342"/>
      <c r="O42" s="312"/>
      <c r="P42" s="84" t="s">
        <v>59</v>
      </c>
      <c r="Q42" s="111">
        <v>0.1</v>
      </c>
      <c r="R42" s="315"/>
      <c r="S42" s="318"/>
    </row>
    <row r="43" spans="2:19" ht="19.5">
      <c r="B43" s="345"/>
      <c r="C43" s="345"/>
      <c r="D43" s="345"/>
      <c r="E43" s="346"/>
      <c r="F43" s="349"/>
      <c r="G43" s="334">
        <f>L43*$O$39*Q43*1500*1.1</f>
        <v>0</v>
      </c>
      <c r="H43" s="439"/>
      <c r="I43" s="324" t="s">
        <v>62</v>
      </c>
      <c r="J43" s="325"/>
      <c r="K43" s="85" t="s">
        <v>58</v>
      </c>
      <c r="L43" s="100">
        <f t="shared" ref="L43" si="0">L38</f>
        <v>0</v>
      </c>
      <c r="M43" s="343"/>
      <c r="N43" s="344"/>
      <c r="O43" s="313"/>
      <c r="P43" s="86" t="s">
        <v>59</v>
      </c>
      <c r="Q43" s="79">
        <v>0.1</v>
      </c>
      <c r="R43" s="316"/>
      <c r="S43" s="319"/>
    </row>
    <row r="44" spans="2:19" ht="19.5">
      <c r="B44" s="345" t="s">
        <v>69</v>
      </c>
      <c r="C44" s="345"/>
      <c r="D44" s="345"/>
      <c r="E44" s="346">
        <f>(E34+E39)*0.2</f>
        <v>0</v>
      </c>
      <c r="F44" s="346"/>
      <c r="G44" s="350" t="s">
        <v>71</v>
      </c>
      <c r="H44" s="351"/>
      <c r="I44" s="351"/>
      <c r="J44" s="351"/>
      <c r="K44" s="351"/>
      <c r="L44" s="351"/>
      <c r="M44" s="87"/>
      <c r="N44" s="87"/>
      <c r="O44" s="88"/>
      <c r="P44" s="88"/>
      <c r="Q44" s="89"/>
      <c r="R44" s="88"/>
      <c r="S44" s="90"/>
    </row>
    <row r="45" spans="2:19" ht="19.5">
      <c r="B45" s="345" t="s">
        <v>70</v>
      </c>
      <c r="C45" s="345"/>
      <c r="D45" s="345"/>
      <c r="E45" s="346">
        <f>ROUNDDOWN((E34+E39+E44)*0.3,0)</f>
        <v>0</v>
      </c>
      <c r="F45" s="346"/>
      <c r="G45" s="352" t="s">
        <v>72</v>
      </c>
      <c r="H45" s="352"/>
      <c r="I45" s="352"/>
      <c r="J45" s="352"/>
      <c r="K45" s="352"/>
      <c r="L45" s="352"/>
      <c r="M45" s="91"/>
      <c r="N45" s="92"/>
      <c r="O45" s="93"/>
      <c r="P45" s="93"/>
      <c r="Q45" s="93"/>
      <c r="R45" s="93"/>
      <c r="S45" s="94"/>
    </row>
    <row r="46" spans="2:19" ht="19.5">
      <c r="B46" s="345" t="s">
        <v>96</v>
      </c>
      <c r="C46" s="345"/>
      <c r="D46" s="345"/>
      <c r="E46" s="346">
        <f>E34+E39+E44+E45</f>
        <v>0</v>
      </c>
      <c r="F46" s="346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5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I41:J41"/>
    <mergeCell ref="G42:H42"/>
    <mergeCell ref="I42:J42"/>
    <mergeCell ref="G43:H43"/>
    <mergeCell ref="I43:J43"/>
    <mergeCell ref="R34:S38"/>
    <mergeCell ref="B46:D46"/>
    <mergeCell ref="E46:F46"/>
    <mergeCell ref="B44:D44"/>
    <mergeCell ref="E44:F44"/>
    <mergeCell ref="G44:L44"/>
    <mergeCell ref="B45:D45"/>
    <mergeCell ref="E45:F45"/>
    <mergeCell ref="G45:L45"/>
    <mergeCell ref="M39:N43"/>
    <mergeCell ref="O39:O43"/>
    <mergeCell ref="R39:R43"/>
    <mergeCell ref="S39:S43"/>
    <mergeCell ref="G40:H40"/>
    <mergeCell ref="I40:J40"/>
    <mergeCell ref="G41:H41"/>
  </mergeCells>
  <phoneticPr fontId="1"/>
  <conditionalFormatting sqref="Q19 O34:O38">
    <cfRule type="containsBlanks" dxfId="3" priority="3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&amp;L【浜医様式Mk2-2smo(10_1)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D2" sqref="D2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6" ht="24">
      <c r="A1" s="54" t="s">
        <v>126</v>
      </c>
    </row>
    <row r="3" spans="1:16" ht="23.25" customHeight="1">
      <c r="C3" s="456" t="s">
        <v>0</v>
      </c>
      <c r="D3" s="457"/>
      <c r="E3" s="458"/>
    </row>
    <row r="4" spans="1:16" ht="13.5" customHeight="1">
      <c r="F4" s="476" t="s">
        <v>31</v>
      </c>
      <c r="G4" s="477"/>
      <c r="H4" s="478"/>
    </row>
    <row r="5" spans="1:16" ht="13.5" customHeight="1">
      <c r="F5" s="479"/>
      <c r="G5" s="480"/>
      <c r="H5" s="481"/>
    </row>
    <row r="6" spans="1:16" ht="13.5" customHeight="1">
      <c r="F6" s="479"/>
      <c r="G6" s="480"/>
      <c r="H6" s="481"/>
    </row>
    <row r="7" spans="1:16" ht="13.5" customHeight="1">
      <c r="F7" s="479"/>
      <c r="G7" s="480"/>
      <c r="H7" s="481"/>
    </row>
    <row r="8" spans="1:16" ht="13.5" customHeight="1">
      <c r="F8" s="479"/>
      <c r="G8" s="480"/>
      <c r="H8" s="481"/>
    </row>
    <row r="9" spans="1:16" ht="13.5" customHeight="1">
      <c r="F9" s="479"/>
      <c r="G9" s="480"/>
      <c r="H9" s="481"/>
    </row>
    <row r="10" spans="1:16" ht="13.5" customHeight="1">
      <c r="F10" s="470" t="s">
        <v>45</v>
      </c>
      <c r="G10" s="471"/>
      <c r="H10" s="472"/>
    </row>
    <row r="11" spans="1:16" ht="13.5" customHeight="1">
      <c r="F11" s="470"/>
      <c r="G11" s="471"/>
      <c r="H11" s="472"/>
      <c r="O11" s="118"/>
    </row>
    <row r="12" spans="1:16" ht="13.5" customHeight="1">
      <c r="F12" s="470"/>
      <c r="G12" s="471"/>
      <c r="H12" s="472"/>
    </row>
    <row r="13" spans="1:16" ht="13.5" customHeight="1">
      <c r="F13" s="470"/>
      <c r="G13" s="471"/>
      <c r="H13" s="472"/>
      <c r="I13" s="95"/>
    </row>
    <row r="14" spans="1:16" ht="13.5" customHeight="1">
      <c r="F14" s="470"/>
      <c r="G14" s="471"/>
      <c r="H14" s="472"/>
      <c r="I14" s="482" t="s">
        <v>43</v>
      </c>
      <c r="J14" s="483"/>
      <c r="K14" s="483"/>
      <c r="L14" s="483"/>
      <c r="M14" s="483"/>
      <c r="N14" s="483"/>
    </row>
    <row r="15" spans="1:16" ht="13.5" customHeight="1">
      <c r="F15" s="470"/>
      <c r="G15" s="471"/>
      <c r="H15" s="472"/>
      <c r="I15" s="119"/>
      <c r="J15" s="120"/>
      <c r="K15" s="120"/>
      <c r="O15" s="468" t="s">
        <v>33</v>
      </c>
    </row>
    <row r="16" spans="1:16" ht="13.5" customHeight="1">
      <c r="B16" s="56"/>
      <c r="C16" s="56"/>
      <c r="D16" s="56"/>
      <c r="F16" s="470"/>
      <c r="G16" s="471"/>
      <c r="H16" s="472"/>
      <c r="I16" s="119"/>
      <c r="J16" s="120"/>
      <c r="K16" s="120"/>
      <c r="L16" s="121"/>
      <c r="M16" s="122"/>
      <c r="N16" s="122"/>
      <c r="O16" s="469"/>
      <c r="P16" s="123"/>
    </row>
    <row r="17" spans="2:18" ht="13.5" customHeight="1">
      <c r="B17" s="56"/>
      <c r="C17" s="56"/>
      <c r="D17" s="56"/>
      <c r="F17" s="470"/>
      <c r="G17" s="471"/>
      <c r="H17" s="472"/>
      <c r="I17" s="484" t="s">
        <v>44</v>
      </c>
      <c r="J17" s="485"/>
      <c r="K17" s="486"/>
      <c r="L17" s="122"/>
      <c r="M17" s="122"/>
      <c r="N17" s="122"/>
      <c r="O17" s="469"/>
    </row>
    <row r="18" spans="2:18" ht="13.5" customHeight="1">
      <c r="B18" s="359" t="s">
        <v>4</v>
      </c>
      <c r="C18" s="57"/>
      <c r="D18" s="57"/>
      <c r="F18" s="473"/>
      <c r="G18" s="474"/>
      <c r="H18" s="475"/>
      <c r="I18" s="487"/>
      <c r="J18" s="488"/>
      <c r="K18" s="489"/>
      <c r="L18" s="490" t="s">
        <v>46</v>
      </c>
      <c r="M18" s="491"/>
      <c r="N18" s="492"/>
      <c r="O18" s="469"/>
      <c r="R18" s="56"/>
    </row>
    <row r="19" spans="2:18" ht="22.5" customHeight="1">
      <c r="B19" s="359"/>
      <c r="C19" s="57"/>
      <c r="D19" s="57"/>
      <c r="F19" s="465" t="s">
        <v>49</v>
      </c>
      <c r="G19" s="466"/>
      <c r="H19" s="466"/>
      <c r="I19" s="466"/>
      <c r="J19" s="466"/>
      <c r="K19" s="466"/>
      <c r="L19" s="466"/>
      <c r="M19" s="466"/>
      <c r="N19" s="467"/>
      <c r="O19" s="469"/>
      <c r="R19" s="56"/>
    </row>
    <row r="20" spans="2:18">
      <c r="B20" s="359"/>
      <c r="C20" s="57"/>
      <c r="D20" s="57"/>
      <c r="O20" s="469"/>
      <c r="R20" s="56"/>
    </row>
    <row r="21" spans="2:18">
      <c r="B21" s="359"/>
      <c r="C21" s="57"/>
      <c r="D21" s="57"/>
      <c r="O21" s="469"/>
      <c r="R21" s="56"/>
    </row>
    <row r="22" spans="2:18" ht="18.75" customHeight="1" thickBot="1">
      <c r="F22" s="58" t="s">
        <v>6</v>
      </c>
      <c r="G22" s="59"/>
      <c r="H22" s="69"/>
      <c r="I22" s="68" t="s">
        <v>7</v>
      </c>
      <c r="L22" s="58" t="s">
        <v>8</v>
      </c>
    </row>
    <row r="23" spans="2:18" ht="19.5" thickBot="1">
      <c r="E23" s="124" t="s">
        <v>14</v>
      </c>
      <c r="G23" s="124"/>
      <c r="H23" s="125"/>
      <c r="I23" s="63"/>
      <c r="J23" s="126"/>
      <c r="K23" s="127">
        <f>H23+ROUNDDOWN((N23-H23)/2,0)</f>
        <v>0</v>
      </c>
      <c r="L23" s="128"/>
      <c r="M23" s="129"/>
      <c r="N23" s="130"/>
      <c r="R23" s="71"/>
    </row>
    <row r="24" spans="2:18"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6" spans="2:18">
      <c r="B26" s="55" t="s">
        <v>51</v>
      </c>
    </row>
    <row r="27" spans="2:18" ht="13.5" customHeight="1">
      <c r="C27" s="459" t="s">
        <v>32</v>
      </c>
      <c r="D27" s="460"/>
      <c r="E27" s="461"/>
      <c r="F27" s="459" t="s">
        <v>34</v>
      </c>
      <c r="G27" s="460"/>
      <c r="H27" s="461"/>
      <c r="I27" s="459" t="s">
        <v>35</v>
      </c>
      <c r="J27" s="460"/>
      <c r="K27" s="461"/>
      <c r="L27" s="459" t="s">
        <v>36</v>
      </c>
      <c r="M27" s="460"/>
      <c r="N27" s="461"/>
      <c r="O27" s="459" t="s">
        <v>37</v>
      </c>
      <c r="P27" s="460"/>
      <c r="Q27" s="461"/>
    </row>
    <row r="28" spans="2:18" ht="13.5" customHeight="1">
      <c r="C28" s="462"/>
      <c r="D28" s="463"/>
      <c r="E28" s="464"/>
      <c r="F28" s="462"/>
      <c r="G28" s="463"/>
      <c r="H28" s="464"/>
      <c r="I28" s="462"/>
      <c r="J28" s="463"/>
      <c r="K28" s="464"/>
      <c r="L28" s="462"/>
      <c r="M28" s="463"/>
      <c r="N28" s="464"/>
      <c r="O28" s="462"/>
      <c r="P28" s="463"/>
      <c r="Q28" s="464"/>
      <c r="R28" s="66"/>
    </row>
    <row r="29" spans="2:18">
      <c r="O29" s="56"/>
    </row>
    <row r="30" spans="2:18">
      <c r="O30" s="56"/>
      <c r="R30" s="66" t="s">
        <v>38</v>
      </c>
    </row>
    <row r="31" spans="2:18">
      <c r="C31" s="58" t="s">
        <v>13</v>
      </c>
      <c r="D31" s="59"/>
      <c r="E31" s="59"/>
      <c r="F31" s="58" t="s">
        <v>39</v>
      </c>
      <c r="I31" s="58" t="s">
        <v>40</v>
      </c>
      <c r="L31" s="58" t="s">
        <v>41</v>
      </c>
      <c r="O31" s="58" t="s">
        <v>42</v>
      </c>
    </row>
    <row r="32" spans="2:18">
      <c r="B32" s="131">
        <f>N23</f>
        <v>0</v>
      </c>
      <c r="C32" s="132"/>
      <c r="D32" s="132"/>
      <c r="E32" s="131">
        <f>B32+($N$23-$K$23)</f>
        <v>0</v>
      </c>
      <c r="F32" s="132"/>
      <c r="G32" s="132"/>
      <c r="H32" s="131">
        <f>E32+($N$23-$K$23)</f>
        <v>0</v>
      </c>
      <c r="I32" s="132"/>
      <c r="J32" s="132"/>
      <c r="K32" s="131">
        <f>H32+($N$23-$K$23)</f>
        <v>0</v>
      </c>
      <c r="L32" s="132"/>
      <c r="M32" s="132"/>
      <c r="N32" s="131">
        <f>K32+($N$23-$K$23)</f>
        <v>0</v>
      </c>
      <c r="O32" s="132"/>
      <c r="R32" s="71"/>
    </row>
    <row r="33" spans="2:19">
      <c r="R33" s="73"/>
    </row>
    <row r="35" spans="2:19" ht="19.5">
      <c r="B35" s="320" t="s">
        <v>66</v>
      </c>
      <c r="C35" s="320"/>
      <c r="D35" s="320"/>
      <c r="E35" s="320" t="s">
        <v>56</v>
      </c>
      <c r="F35" s="321"/>
      <c r="G35" s="406" t="s">
        <v>63</v>
      </c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8"/>
    </row>
    <row r="36" spans="2:19" ht="19.5">
      <c r="B36" s="345" t="s">
        <v>67</v>
      </c>
      <c r="C36" s="345"/>
      <c r="D36" s="345"/>
      <c r="E36" s="346">
        <f>SUM(G36:H39)</f>
        <v>0</v>
      </c>
      <c r="F36" s="349"/>
      <c r="G36" s="396">
        <f>L36*$O$36*Q36*6000*0.8*1.1</f>
        <v>0</v>
      </c>
      <c r="H36" s="397"/>
      <c r="I36" s="398" t="s">
        <v>57</v>
      </c>
      <c r="J36" s="399"/>
      <c r="K36" s="142" t="s">
        <v>58</v>
      </c>
      <c r="L36" s="145"/>
      <c r="M36" s="339" t="s">
        <v>65</v>
      </c>
      <c r="N36" s="340"/>
      <c r="O36" s="336"/>
      <c r="P36" s="109" t="s">
        <v>59</v>
      </c>
      <c r="Q36" s="110">
        <v>0.85</v>
      </c>
      <c r="R36" s="306" t="s">
        <v>133</v>
      </c>
      <c r="S36" s="307"/>
    </row>
    <row r="37" spans="2:19" ht="19.5">
      <c r="B37" s="345"/>
      <c r="C37" s="345"/>
      <c r="D37" s="345"/>
      <c r="E37" s="346"/>
      <c r="F37" s="349"/>
      <c r="G37" s="332">
        <f>L37*$O$36*Q37*6000*0.8*1.1</f>
        <v>0</v>
      </c>
      <c r="H37" s="394"/>
      <c r="I37" s="328" t="s">
        <v>60</v>
      </c>
      <c r="J37" s="329"/>
      <c r="K37" s="143" t="s">
        <v>58</v>
      </c>
      <c r="L37" s="146"/>
      <c r="M37" s="341"/>
      <c r="N37" s="342"/>
      <c r="O37" s="337"/>
      <c r="P37" s="76" t="s">
        <v>59</v>
      </c>
      <c r="Q37" s="77">
        <v>0.1</v>
      </c>
      <c r="R37" s="308"/>
      <c r="S37" s="309"/>
    </row>
    <row r="38" spans="2:19" ht="19.5">
      <c r="B38" s="345"/>
      <c r="C38" s="345"/>
      <c r="D38" s="345"/>
      <c r="E38" s="346"/>
      <c r="F38" s="349"/>
      <c r="G38" s="332">
        <f>L38*$O$36*Q38*6000*0.8*1.1</f>
        <v>0</v>
      </c>
      <c r="H38" s="394"/>
      <c r="I38" s="326" t="s">
        <v>61</v>
      </c>
      <c r="J38" s="327"/>
      <c r="K38" s="143" t="s">
        <v>58</v>
      </c>
      <c r="L38" s="146"/>
      <c r="M38" s="341"/>
      <c r="N38" s="342"/>
      <c r="O38" s="337"/>
      <c r="P38" s="76" t="s">
        <v>59</v>
      </c>
      <c r="Q38" s="77">
        <v>0.05</v>
      </c>
      <c r="R38" s="308"/>
      <c r="S38" s="309"/>
    </row>
    <row r="39" spans="2:19" ht="19.5">
      <c r="B39" s="345"/>
      <c r="C39" s="345"/>
      <c r="D39" s="345"/>
      <c r="E39" s="346"/>
      <c r="F39" s="349"/>
      <c r="G39" s="334">
        <f>L39*$O$36*Q39*6000*0.8*1.1</f>
        <v>0</v>
      </c>
      <c r="H39" s="439"/>
      <c r="I39" s="324" t="s">
        <v>62</v>
      </c>
      <c r="J39" s="325"/>
      <c r="K39" s="144" t="s">
        <v>58</v>
      </c>
      <c r="L39" s="147"/>
      <c r="M39" s="343"/>
      <c r="N39" s="344"/>
      <c r="O39" s="338"/>
      <c r="P39" s="78" t="s">
        <v>59</v>
      </c>
      <c r="Q39" s="79">
        <v>0.1</v>
      </c>
      <c r="R39" s="310"/>
      <c r="S39" s="311"/>
    </row>
    <row r="40" spans="2:19" ht="19.5">
      <c r="B40" s="345" t="s">
        <v>68</v>
      </c>
      <c r="C40" s="345"/>
      <c r="D40" s="345"/>
      <c r="E40" s="346">
        <f>SUM(G40:H43)</f>
        <v>0</v>
      </c>
      <c r="F40" s="349"/>
      <c r="G40" s="347">
        <f>L40*$O$40*Q40*1500*1.1</f>
        <v>0</v>
      </c>
      <c r="H40" s="348"/>
      <c r="I40" s="360" t="s">
        <v>57</v>
      </c>
      <c r="J40" s="361"/>
      <c r="K40" s="80" t="s">
        <v>58</v>
      </c>
      <c r="L40" s="98">
        <f>L36</f>
        <v>0</v>
      </c>
      <c r="M40" s="395" t="s">
        <v>65</v>
      </c>
      <c r="N40" s="340"/>
      <c r="O40" s="312">
        <f>O36</f>
        <v>0</v>
      </c>
      <c r="P40" s="81" t="s">
        <v>59</v>
      </c>
      <c r="Q40" s="110">
        <v>0.85</v>
      </c>
      <c r="R40" s="314" t="s">
        <v>136</v>
      </c>
      <c r="S40" s="317" t="s">
        <v>64</v>
      </c>
    </row>
    <row r="41" spans="2:19" ht="19.5">
      <c r="B41" s="345"/>
      <c r="C41" s="345"/>
      <c r="D41" s="345"/>
      <c r="E41" s="346"/>
      <c r="F41" s="349"/>
      <c r="G41" s="347">
        <f>L41*$O$40*Q41*1500*1.1</f>
        <v>0</v>
      </c>
      <c r="H41" s="348"/>
      <c r="I41" s="328" t="s">
        <v>60</v>
      </c>
      <c r="J41" s="329"/>
      <c r="K41" s="83" t="s">
        <v>58</v>
      </c>
      <c r="L41" s="99">
        <f t="shared" ref="L41:L43" si="0">L37</f>
        <v>0</v>
      </c>
      <c r="M41" s="341"/>
      <c r="N41" s="342"/>
      <c r="O41" s="312"/>
      <c r="P41" s="84" t="s">
        <v>59</v>
      </c>
      <c r="Q41" s="77">
        <v>0.1</v>
      </c>
      <c r="R41" s="315"/>
      <c r="S41" s="318"/>
    </row>
    <row r="42" spans="2:19" ht="19.5">
      <c r="B42" s="345"/>
      <c r="C42" s="345"/>
      <c r="D42" s="345"/>
      <c r="E42" s="346"/>
      <c r="F42" s="349"/>
      <c r="G42" s="347">
        <f>L42*$O$40*Q42*1500*1.1</f>
        <v>0</v>
      </c>
      <c r="H42" s="348"/>
      <c r="I42" s="328" t="s">
        <v>61</v>
      </c>
      <c r="J42" s="329"/>
      <c r="K42" s="83" t="s">
        <v>58</v>
      </c>
      <c r="L42" s="99">
        <f t="shared" si="0"/>
        <v>0</v>
      </c>
      <c r="M42" s="341"/>
      <c r="N42" s="342"/>
      <c r="O42" s="312"/>
      <c r="P42" s="84" t="s">
        <v>59</v>
      </c>
      <c r="Q42" s="77">
        <v>0.05</v>
      </c>
      <c r="R42" s="315"/>
      <c r="S42" s="318"/>
    </row>
    <row r="43" spans="2:19" ht="19.5">
      <c r="B43" s="345"/>
      <c r="C43" s="345"/>
      <c r="D43" s="345"/>
      <c r="E43" s="346"/>
      <c r="F43" s="349"/>
      <c r="G43" s="347">
        <f>L43*$O$40*Q43*1500*1.1</f>
        <v>0</v>
      </c>
      <c r="H43" s="348"/>
      <c r="I43" s="324" t="s">
        <v>62</v>
      </c>
      <c r="J43" s="325"/>
      <c r="K43" s="85" t="s">
        <v>58</v>
      </c>
      <c r="L43" s="100">
        <f t="shared" si="0"/>
        <v>0</v>
      </c>
      <c r="M43" s="343"/>
      <c r="N43" s="344"/>
      <c r="O43" s="313"/>
      <c r="P43" s="86" t="s">
        <v>59</v>
      </c>
      <c r="Q43" s="79">
        <v>0.1</v>
      </c>
      <c r="R43" s="316"/>
      <c r="S43" s="319"/>
    </row>
    <row r="44" spans="2:19" ht="19.5">
      <c r="B44" s="345" t="s">
        <v>69</v>
      </c>
      <c r="C44" s="345"/>
      <c r="D44" s="345"/>
      <c r="E44" s="346">
        <f>(E36+E40)*0.2</f>
        <v>0</v>
      </c>
      <c r="F44" s="346"/>
      <c r="G44" s="350" t="s">
        <v>71</v>
      </c>
      <c r="H44" s="351"/>
      <c r="I44" s="351"/>
      <c r="J44" s="351"/>
      <c r="K44" s="351"/>
      <c r="L44" s="351"/>
      <c r="M44" s="87"/>
      <c r="N44" s="87"/>
      <c r="O44" s="88"/>
      <c r="P44" s="88"/>
      <c r="Q44" s="89"/>
      <c r="R44" s="88"/>
      <c r="S44" s="90"/>
    </row>
    <row r="45" spans="2:19" ht="19.5">
      <c r="B45" s="345" t="s">
        <v>70</v>
      </c>
      <c r="C45" s="345"/>
      <c r="D45" s="345"/>
      <c r="E45" s="346">
        <f>ROUNDDOWN((E36+E40+E44)*0.3,0)</f>
        <v>0</v>
      </c>
      <c r="F45" s="346"/>
      <c r="G45" s="352" t="s">
        <v>72</v>
      </c>
      <c r="H45" s="352"/>
      <c r="I45" s="352"/>
      <c r="J45" s="352"/>
      <c r="K45" s="352"/>
      <c r="L45" s="352"/>
      <c r="M45" s="91"/>
      <c r="N45" s="92"/>
      <c r="O45" s="93"/>
      <c r="P45" s="93"/>
      <c r="Q45" s="93"/>
      <c r="R45" s="93"/>
      <c r="S45" s="94"/>
    </row>
    <row r="46" spans="2:19" ht="19.5">
      <c r="B46" s="345" t="s">
        <v>96</v>
      </c>
      <c r="C46" s="345"/>
      <c r="D46" s="345"/>
      <c r="E46" s="346">
        <f>E36+E40+E44+E45</f>
        <v>0</v>
      </c>
      <c r="F46" s="346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2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0:D43"/>
    <mergeCell ref="E40:F43"/>
    <mergeCell ref="G40:H40"/>
    <mergeCell ref="I40:J40"/>
    <mergeCell ref="B46:D46"/>
    <mergeCell ref="E46:F46"/>
    <mergeCell ref="B44:D44"/>
    <mergeCell ref="E44:F44"/>
    <mergeCell ref="G44:L44"/>
    <mergeCell ref="B45:D45"/>
    <mergeCell ref="E45:F45"/>
    <mergeCell ref="G45:L45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</mergeCells>
  <phoneticPr fontId="1"/>
  <conditionalFormatting sqref="H23 N23 O36:O39">
    <cfRule type="containsBlanks" dxfId="2" priority="3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&amp;L【浜医様式Mk2-2smo(10_1)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B2" sqref="B2"/>
    </sheetView>
  </sheetViews>
  <sheetFormatPr defaultRowHeight="18.75"/>
  <cols>
    <col min="1" max="2" width="9" style="64"/>
    <col min="3" max="17" width="7" style="64" customWidth="1"/>
    <col min="18" max="16384" width="9" style="64"/>
  </cols>
  <sheetData>
    <row r="1" spans="1:16" ht="24">
      <c r="A1" s="101" t="s">
        <v>127</v>
      </c>
    </row>
    <row r="3" spans="1:16" ht="23.25" customHeight="1">
      <c r="C3" s="441" t="s">
        <v>0</v>
      </c>
      <c r="D3" s="442"/>
      <c r="E3" s="443"/>
    </row>
    <row r="4" spans="1:16" ht="13.5" customHeight="1">
      <c r="F4" s="429" t="s">
        <v>47</v>
      </c>
      <c r="G4" s="430"/>
      <c r="H4" s="431"/>
    </row>
    <row r="5" spans="1:16" ht="13.5" customHeight="1">
      <c r="F5" s="432"/>
      <c r="G5" s="433"/>
      <c r="H5" s="434"/>
    </row>
    <row r="6" spans="1:16" ht="13.5" customHeight="1">
      <c r="F6" s="432"/>
      <c r="G6" s="433"/>
      <c r="H6" s="434"/>
    </row>
    <row r="7" spans="1:16" ht="13.5" customHeight="1">
      <c r="F7" s="432"/>
      <c r="G7" s="433"/>
      <c r="H7" s="434"/>
    </row>
    <row r="8" spans="1:16" ht="13.5" customHeight="1">
      <c r="F8" s="432"/>
      <c r="G8" s="433"/>
      <c r="H8" s="434"/>
    </row>
    <row r="9" spans="1:16" ht="13.5" customHeight="1">
      <c r="F9" s="432"/>
      <c r="G9" s="433"/>
      <c r="H9" s="434"/>
    </row>
    <row r="10" spans="1:16" ht="13.5" customHeight="1">
      <c r="F10" s="432"/>
      <c r="G10" s="433"/>
      <c r="H10" s="434"/>
    </row>
    <row r="11" spans="1:16" ht="13.5" customHeight="1">
      <c r="F11" s="432"/>
      <c r="G11" s="433"/>
      <c r="H11" s="434"/>
      <c r="O11" s="133"/>
    </row>
    <row r="12" spans="1:16" ht="13.5" customHeight="1">
      <c r="F12" s="432"/>
      <c r="G12" s="433"/>
      <c r="H12" s="434"/>
    </row>
    <row r="13" spans="1:16" ht="13.5" customHeight="1">
      <c r="F13" s="432"/>
      <c r="G13" s="433"/>
      <c r="H13" s="434"/>
      <c r="I13" s="134"/>
    </row>
    <row r="14" spans="1:16" ht="13.5" customHeight="1">
      <c r="F14" s="432"/>
      <c r="G14" s="433"/>
      <c r="H14" s="434"/>
      <c r="I14" s="135"/>
      <c r="J14" s="136"/>
      <c r="K14" s="136"/>
      <c r="L14" s="136"/>
      <c r="M14" s="136"/>
      <c r="N14" s="136"/>
    </row>
    <row r="15" spans="1:16" ht="13.5" customHeight="1">
      <c r="F15" s="432"/>
      <c r="G15" s="433"/>
      <c r="H15" s="434"/>
      <c r="I15" s="137"/>
      <c r="J15" s="138"/>
      <c r="K15" s="138"/>
      <c r="O15" s="493" t="s">
        <v>33</v>
      </c>
    </row>
    <row r="16" spans="1:16" ht="13.5" customHeight="1">
      <c r="B16" s="67"/>
      <c r="C16" s="67"/>
      <c r="D16" s="67"/>
      <c r="F16" s="432"/>
      <c r="G16" s="433"/>
      <c r="H16" s="434"/>
      <c r="I16" s="495" t="s">
        <v>48</v>
      </c>
      <c r="J16" s="496"/>
      <c r="K16" s="497"/>
      <c r="L16" s="139"/>
      <c r="M16" s="139"/>
      <c r="N16" s="139"/>
      <c r="O16" s="494"/>
      <c r="P16" s="103"/>
    </row>
    <row r="17" spans="2:18" ht="13.5" customHeight="1">
      <c r="B17" s="67"/>
      <c r="C17" s="67"/>
      <c r="D17" s="67"/>
      <c r="F17" s="432"/>
      <c r="G17" s="433"/>
      <c r="H17" s="434"/>
      <c r="I17" s="498"/>
      <c r="J17" s="499"/>
      <c r="K17" s="500"/>
      <c r="L17" s="139"/>
      <c r="M17" s="139"/>
      <c r="N17" s="139"/>
      <c r="O17" s="494"/>
    </row>
    <row r="18" spans="2:18" ht="13.5" customHeight="1">
      <c r="B18" s="409" t="s">
        <v>4</v>
      </c>
      <c r="C18" s="104"/>
      <c r="D18" s="104"/>
      <c r="F18" s="444"/>
      <c r="G18" s="445"/>
      <c r="H18" s="446"/>
      <c r="I18" s="501"/>
      <c r="J18" s="502"/>
      <c r="K18" s="503"/>
      <c r="L18" s="504" t="s">
        <v>46</v>
      </c>
      <c r="M18" s="504"/>
      <c r="N18" s="505"/>
      <c r="O18" s="494"/>
      <c r="R18" s="67"/>
    </row>
    <row r="19" spans="2:18" ht="22.5" customHeight="1">
      <c r="B19" s="409"/>
      <c r="C19" s="104"/>
      <c r="D19" s="104"/>
      <c r="F19" s="440" t="s">
        <v>49</v>
      </c>
      <c r="G19" s="357"/>
      <c r="H19" s="357"/>
      <c r="I19" s="357"/>
      <c r="J19" s="357"/>
      <c r="K19" s="357"/>
      <c r="L19" s="357"/>
      <c r="M19" s="357"/>
      <c r="N19" s="358"/>
      <c r="O19" s="494"/>
      <c r="R19" s="67"/>
    </row>
    <row r="20" spans="2:18">
      <c r="B20" s="409"/>
      <c r="C20" s="104"/>
      <c r="D20" s="104"/>
      <c r="O20" s="494"/>
      <c r="R20" s="67"/>
    </row>
    <row r="21" spans="2:18">
      <c r="B21" s="409"/>
      <c r="C21" s="104"/>
      <c r="D21" s="104"/>
      <c r="O21" s="494"/>
      <c r="R21" s="67"/>
    </row>
    <row r="22" spans="2:18" ht="18.75" customHeight="1" thickBot="1">
      <c r="F22" s="68" t="s">
        <v>6</v>
      </c>
      <c r="G22" s="69"/>
      <c r="H22" s="69"/>
      <c r="I22" s="68" t="s">
        <v>7</v>
      </c>
      <c r="L22" s="68" t="s">
        <v>8</v>
      </c>
    </row>
    <row r="23" spans="2:18" ht="19.5" thickBot="1">
      <c r="E23" s="105" t="s">
        <v>14</v>
      </c>
      <c r="G23" s="105"/>
      <c r="H23" s="140">
        <f>ROUNDDOWN(N23*1/3,0)</f>
        <v>0</v>
      </c>
      <c r="I23" s="63"/>
      <c r="K23" s="140">
        <f>H23*2</f>
        <v>0</v>
      </c>
      <c r="L23" s="63"/>
      <c r="N23" s="65"/>
      <c r="R23" s="106"/>
    </row>
    <row r="26" spans="2:18">
      <c r="B26" s="64" t="s">
        <v>51</v>
      </c>
    </row>
    <row r="27" spans="2:18" ht="13.5" customHeight="1">
      <c r="C27" s="386" t="s">
        <v>32</v>
      </c>
      <c r="D27" s="387"/>
      <c r="E27" s="388"/>
      <c r="F27" s="386" t="s">
        <v>34</v>
      </c>
      <c r="G27" s="387"/>
      <c r="H27" s="388"/>
      <c r="I27" s="386" t="s">
        <v>35</v>
      </c>
      <c r="J27" s="387"/>
      <c r="K27" s="388"/>
      <c r="L27" s="386" t="s">
        <v>36</v>
      </c>
      <c r="M27" s="387"/>
      <c r="N27" s="388"/>
      <c r="O27" s="386" t="s">
        <v>37</v>
      </c>
      <c r="P27" s="387"/>
      <c r="Q27" s="388"/>
    </row>
    <row r="28" spans="2:18" ht="13.5" customHeight="1">
      <c r="C28" s="389"/>
      <c r="D28" s="390"/>
      <c r="E28" s="391"/>
      <c r="F28" s="389"/>
      <c r="G28" s="390"/>
      <c r="H28" s="391"/>
      <c r="I28" s="389"/>
      <c r="J28" s="390"/>
      <c r="K28" s="391"/>
      <c r="L28" s="389"/>
      <c r="M28" s="390"/>
      <c r="N28" s="391"/>
      <c r="O28" s="389"/>
      <c r="P28" s="390"/>
      <c r="Q28" s="391"/>
      <c r="R28" s="69"/>
    </row>
    <row r="29" spans="2:18">
      <c r="O29" s="67"/>
    </row>
    <row r="30" spans="2:18">
      <c r="O30" s="67"/>
      <c r="R30" s="69" t="s">
        <v>38</v>
      </c>
    </row>
    <row r="31" spans="2:18">
      <c r="C31" s="68" t="s">
        <v>13</v>
      </c>
      <c r="D31" s="69"/>
      <c r="E31" s="69"/>
      <c r="F31" s="68" t="s">
        <v>39</v>
      </c>
      <c r="I31" s="68" t="s">
        <v>40</v>
      </c>
      <c r="L31" s="68" t="s">
        <v>41</v>
      </c>
      <c r="O31" s="68" t="s">
        <v>42</v>
      </c>
    </row>
    <row r="32" spans="2:18">
      <c r="B32" s="141">
        <f>N23</f>
        <v>0</v>
      </c>
      <c r="E32" s="141">
        <f>B32+($N$23-$K$23)</f>
        <v>0</v>
      </c>
      <c r="H32" s="141">
        <f>E32+($N$23-$K$23)</f>
        <v>0</v>
      </c>
      <c r="K32" s="141">
        <f>H32+($N$23-$K$23)</f>
        <v>0</v>
      </c>
      <c r="N32" s="141">
        <f>K32+($N$23-$K$23)</f>
        <v>0</v>
      </c>
      <c r="R32" s="106"/>
    </row>
    <row r="33" spans="2:19">
      <c r="R33" s="108"/>
    </row>
    <row r="35" spans="2:19" ht="19.5">
      <c r="B35" s="320" t="s">
        <v>66</v>
      </c>
      <c r="C35" s="320"/>
      <c r="D35" s="320"/>
      <c r="E35" s="320" t="s">
        <v>56</v>
      </c>
      <c r="F35" s="321"/>
      <c r="G35" s="406" t="s">
        <v>63</v>
      </c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8"/>
    </row>
    <row r="36" spans="2:19" ht="19.5">
      <c r="B36" s="345" t="s">
        <v>67</v>
      </c>
      <c r="C36" s="345"/>
      <c r="D36" s="345"/>
      <c r="E36" s="346">
        <f>SUM(G36:H39)</f>
        <v>0</v>
      </c>
      <c r="F36" s="349"/>
      <c r="G36" s="396">
        <f>L36*$O$36*Q36*6000*0.8*1.1</f>
        <v>0</v>
      </c>
      <c r="H36" s="397"/>
      <c r="I36" s="398" t="s">
        <v>57</v>
      </c>
      <c r="J36" s="399"/>
      <c r="K36" s="142" t="s">
        <v>58</v>
      </c>
      <c r="L36" s="145"/>
      <c r="M36" s="339" t="s">
        <v>65</v>
      </c>
      <c r="N36" s="340"/>
      <c r="O36" s="336"/>
      <c r="P36" s="109" t="s">
        <v>59</v>
      </c>
      <c r="Q36" s="110">
        <v>0.75</v>
      </c>
      <c r="R36" s="306" t="s">
        <v>134</v>
      </c>
      <c r="S36" s="307"/>
    </row>
    <row r="37" spans="2:19" ht="19.5">
      <c r="B37" s="345"/>
      <c r="C37" s="345"/>
      <c r="D37" s="345"/>
      <c r="E37" s="346"/>
      <c r="F37" s="349"/>
      <c r="G37" s="332">
        <f>L37*$O$36*Q37*6000*0.8*1.1</f>
        <v>0</v>
      </c>
      <c r="H37" s="394"/>
      <c r="I37" s="328" t="s">
        <v>60</v>
      </c>
      <c r="J37" s="329"/>
      <c r="K37" s="143" t="s">
        <v>58</v>
      </c>
      <c r="L37" s="146"/>
      <c r="M37" s="341"/>
      <c r="N37" s="342"/>
      <c r="O37" s="337"/>
      <c r="P37" s="76" t="s">
        <v>59</v>
      </c>
      <c r="Q37" s="77">
        <v>0.2</v>
      </c>
      <c r="R37" s="308"/>
      <c r="S37" s="309"/>
    </row>
    <row r="38" spans="2:19" ht="19.5">
      <c r="B38" s="345"/>
      <c r="C38" s="345"/>
      <c r="D38" s="345"/>
      <c r="E38" s="346"/>
      <c r="F38" s="349"/>
      <c r="G38" s="332">
        <f>L38*$O$36*Q38*6000*0.8*1.1</f>
        <v>0</v>
      </c>
      <c r="H38" s="394"/>
      <c r="I38" s="326" t="s">
        <v>61</v>
      </c>
      <c r="J38" s="327"/>
      <c r="K38" s="143" t="s">
        <v>58</v>
      </c>
      <c r="L38" s="146"/>
      <c r="M38" s="341"/>
      <c r="N38" s="342"/>
      <c r="O38" s="337"/>
      <c r="P38" s="76" t="s">
        <v>59</v>
      </c>
      <c r="Q38" s="77">
        <v>0.05</v>
      </c>
      <c r="R38" s="308"/>
      <c r="S38" s="309"/>
    </row>
    <row r="39" spans="2:19" ht="19.5">
      <c r="B39" s="345"/>
      <c r="C39" s="345"/>
      <c r="D39" s="345"/>
      <c r="E39" s="346"/>
      <c r="F39" s="349"/>
      <c r="G39" s="334">
        <f>L39*$O$36*Q39*6000*0.8*1.1</f>
        <v>0</v>
      </c>
      <c r="H39" s="439"/>
      <c r="I39" s="324" t="s">
        <v>62</v>
      </c>
      <c r="J39" s="325"/>
      <c r="K39" s="144" t="s">
        <v>58</v>
      </c>
      <c r="L39" s="147"/>
      <c r="M39" s="343"/>
      <c r="N39" s="344"/>
      <c r="O39" s="338"/>
      <c r="P39" s="78" t="s">
        <v>59</v>
      </c>
      <c r="Q39" s="79">
        <v>0.1</v>
      </c>
      <c r="R39" s="310"/>
      <c r="S39" s="311"/>
    </row>
    <row r="40" spans="2:19" ht="19.5">
      <c r="B40" s="345" t="s">
        <v>68</v>
      </c>
      <c r="C40" s="345"/>
      <c r="D40" s="345"/>
      <c r="E40" s="346">
        <f>SUM(G40:H43)</f>
        <v>0</v>
      </c>
      <c r="F40" s="349"/>
      <c r="G40" s="396">
        <f>L40*$O$40*Q40*1500*1.1</f>
        <v>0</v>
      </c>
      <c r="H40" s="397"/>
      <c r="I40" s="360" t="s">
        <v>57</v>
      </c>
      <c r="J40" s="361"/>
      <c r="K40" s="150" t="s">
        <v>58</v>
      </c>
      <c r="L40" s="149">
        <f>L36</f>
        <v>0</v>
      </c>
      <c r="M40" s="341" t="s">
        <v>65</v>
      </c>
      <c r="N40" s="342"/>
      <c r="O40" s="312">
        <f>O36</f>
        <v>0</v>
      </c>
      <c r="P40" s="81" t="s">
        <v>59</v>
      </c>
      <c r="Q40" s="110">
        <v>0.75</v>
      </c>
      <c r="R40" s="314" t="s">
        <v>135</v>
      </c>
      <c r="S40" s="317" t="s">
        <v>64</v>
      </c>
    </row>
    <row r="41" spans="2:19" ht="19.5">
      <c r="B41" s="345"/>
      <c r="C41" s="345"/>
      <c r="D41" s="345"/>
      <c r="E41" s="346"/>
      <c r="F41" s="349"/>
      <c r="G41" s="332">
        <f>L41*$O$40*Q41*1500*1.1</f>
        <v>0</v>
      </c>
      <c r="H41" s="394"/>
      <c r="I41" s="328" t="s">
        <v>60</v>
      </c>
      <c r="J41" s="329"/>
      <c r="K41" s="83" t="s">
        <v>58</v>
      </c>
      <c r="L41" s="99">
        <f t="shared" ref="L41:L43" si="0">L37</f>
        <v>0</v>
      </c>
      <c r="M41" s="341"/>
      <c r="N41" s="342"/>
      <c r="O41" s="312"/>
      <c r="P41" s="84" t="s">
        <v>59</v>
      </c>
      <c r="Q41" s="77">
        <v>0.2</v>
      </c>
      <c r="R41" s="315"/>
      <c r="S41" s="318"/>
    </row>
    <row r="42" spans="2:19" ht="19.5">
      <c r="B42" s="345"/>
      <c r="C42" s="345"/>
      <c r="D42" s="345"/>
      <c r="E42" s="346"/>
      <c r="F42" s="349"/>
      <c r="G42" s="332">
        <f>L42*$O$40*Q42*1500*1.1</f>
        <v>0</v>
      </c>
      <c r="H42" s="394"/>
      <c r="I42" s="328" t="s">
        <v>61</v>
      </c>
      <c r="J42" s="329"/>
      <c r="K42" s="83" t="s">
        <v>58</v>
      </c>
      <c r="L42" s="99">
        <f t="shared" si="0"/>
        <v>0</v>
      </c>
      <c r="M42" s="341"/>
      <c r="N42" s="342"/>
      <c r="O42" s="312"/>
      <c r="P42" s="84" t="s">
        <v>59</v>
      </c>
      <c r="Q42" s="77">
        <v>0.05</v>
      </c>
      <c r="R42" s="315"/>
      <c r="S42" s="318"/>
    </row>
    <row r="43" spans="2:19" ht="19.5">
      <c r="B43" s="345"/>
      <c r="C43" s="345"/>
      <c r="D43" s="345"/>
      <c r="E43" s="346"/>
      <c r="F43" s="349"/>
      <c r="G43" s="334">
        <f>L43*$O$40*Q43*1500*1.1</f>
        <v>0</v>
      </c>
      <c r="H43" s="439"/>
      <c r="I43" s="324" t="s">
        <v>62</v>
      </c>
      <c r="J43" s="325"/>
      <c r="K43" s="85" t="s">
        <v>58</v>
      </c>
      <c r="L43" s="100">
        <f t="shared" si="0"/>
        <v>0</v>
      </c>
      <c r="M43" s="343"/>
      <c r="N43" s="344"/>
      <c r="O43" s="313"/>
      <c r="P43" s="86" t="s">
        <v>59</v>
      </c>
      <c r="Q43" s="79">
        <v>0.1</v>
      </c>
      <c r="R43" s="316"/>
      <c r="S43" s="319"/>
    </row>
    <row r="44" spans="2:19" ht="19.5">
      <c r="B44" s="345" t="s">
        <v>69</v>
      </c>
      <c r="C44" s="345"/>
      <c r="D44" s="345"/>
      <c r="E44" s="346">
        <f>(E36+E40)*0.2</f>
        <v>0</v>
      </c>
      <c r="F44" s="346"/>
      <c r="G44" s="350" t="s">
        <v>71</v>
      </c>
      <c r="H44" s="351"/>
      <c r="I44" s="351"/>
      <c r="J44" s="351"/>
      <c r="K44" s="351"/>
      <c r="L44" s="351"/>
      <c r="M44" s="87"/>
      <c r="N44" s="87"/>
      <c r="O44" s="88"/>
      <c r="P44" s="88"/>
      <c r="Q44" s="89"/>
      <c r="R44" s="88"/>
      <c r="S44" s="90"/>
    </row>
    <row r="45" spans="2:19" ht="19.5">
      <c r="B45" s="345" t="s">
        <v>70</v>
      </c>
      <c r="C45" s="345"/>
      <c r="D45" s="345"/>
      <c r="E45" s="346">
        <f>ROUNDDOWN((E36+E40+E44)*0.3,0)</f>
        <v>0</v>
      </c>
      <c r="F45" s="346"/>
      <c r="G45" s="352" t="s">
        <v>72</v>
      </c>
      <c r="H45" s="352"/>
      <c r="I45" s="352"/>
      <c r="J45" s="352"/>
      <c r="K45" s="352"/>
      <c r="L45" s="352"/>
      <c r="M45" s="91"/>
      <c r="N45" s="92"/>
      <c r="O45" s="93"/>
      <c r="P45" s="93"/>
      <c r="Q45" s="93"/>
      <c r="R45" s="93"/>
      <c r="S45" s="94"/>
    </row>
    <row r="46" spans="2:19" ht="19.5">
      <c r="B46" s="345" t="s">
        <v>96</v>
      </c>
      <c r="C46" s="345"/>
      <c r="D46" s="345"/>
      <c r="E46" s="346">
        <f>E36+E40+E44+E45</f>
        <v>0</v>
      </c>
      <c r="F46" s="346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0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0:D43"/>
    <mergeCell ref="E40:F43"/>
    <mergeCell ref="G40:H40"/>
    <mergeCell ref="I40:J40"/>
    <mergeCell ref="B46:D46"/>
    <mergeCell ref="E46:F46"/>
    <mergeCell ref="B44:D44"/>
    <mergeCell ref="E44:F44"/>
    <mergeCell ref="G44:L44"/>
    <mergeCell ref="B45:D45"/>
    <mergeCell ref="E45:F45"/>
    <mergeCell ref="G45:L45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</mergeCells>
  <phoneticPr fontId="1"/>
  <conditionalFormatting sqref="N23 O36:O39">
    <cfRule type="containsBlanks" dxfId="1" priority="3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&amp;L【浜医様式Mk2-2smo(10_1)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製造販売後臨床試験（医薬品）smo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'製造販売後臨床試験（医薬品）smo'!Print_Area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2025-12-17T00:41:17Z</dcterms:modified>
</cp:coreProperties>
</file>